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tabRatio="947" activeTab="12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felújítás" sheetId="9" r:id="rId9"/>
    <sheet name="10. beruházás" sheetId="10" r:id="rId10"/>
    <sheet name="11.Idősek Otthona bevétel" sheetId="11" r:id="rId11"/>
    <sheet name="12.Idősek Otthona kiadás" sheetId="12" r:id="rId12"/>
    <sheet name="13. Idősek Otthona beruházás" sheetId="13" r:id="rId13"/>
    <sheet name="Munka1" sheetId="14" r:id="rId14"/>
  </sheets>
  <definedNames>
    <definedName name="Excel_BuiltIn_Print_Area_1_1">#REF!</definedName>
    <definedName name="Excel_BuiltIn_Print_Area_2_1">#REF!</definedName>
    <definedName name="Excel_BuiltIn_Print_Area_3_1">'5.kiadás'!$A$3:$F$72</definedName>
    <definedName name="_xlnm.Print_Titles" localSheetId="4">'5.kiadás'!$3:$8</definedName>
    <definedName name="_xlnm.Print_Area" localSheetId="9">'10. beruházás'!$A$1:$B$15</definedName>
    <definedName name="_xlnm.Print_Area" localSheetId="10">'11.Idősek Otthona bevétel'!$A$1:$F$24</definedName>
    <definedName name="_xlnm.Print_Area" localSheetId="11">'12.Idősek Otthona kiadás'!$A$1:$G$48</definedName>
    <definedName name="_xlnm.Print_Area" localSheetId="12">'13. Idősek Otthona beruházás'!$A$1:$C$10</definedName>
    <definedName name="_xlnm.Print_Area" localSheetId="1">'2.bevétel'!$A$1:$F$86</definedName>
    <definedName name="_xlnm.Print_Area" localSheetId="2">'3.bevétel jogc.'!$A$1:$F$55</definedName>
    <definedName name="_xlnm.Print_Area" localSheetId="4">'5.kiadás'!$A$1:$H$208</definedName>
    <definedName name="_xlnm.Print_Area" localSheetId="5">'6. kiadás fel.'!$A$1:$E$26</definedName>
    <definedName name="_xlnm.Print_Area" localSheetId="8">'9.felújítás'!$A$1:$C$10</definedName>
  </definedNames>
  <calcPr fullCalcOnLoad="1"/>
</workbook>
</file>

<file path=xl/sharedStrings.xml><?xml version="1.0" encoding="utf-8"?>
<sst xmlns="http://schemas.openxmlformats.org/spreadsheetml/2006/main" count="888" uniqueCount="336">
  <si>
    <t>Külső személyi juttatások</t>
  </si>
  <si>
    <t>Készletbeszerzés</t>
  </si>
  <si>
    <t>Karbantartási, kisjavítási szolgáltatások</t>
  </si>
  <si>
    <t>Személyi juttatások</t>
  </si>
  <si>
    <t>Létszám</t>
  </si>
  <si>
    <t>kiemelt előirányzatonként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</si>
  <si>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</si>
  <si>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</si>
  <si>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</si>
  <si>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</si>
  <si>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</si>
  <si>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</si>
  <si>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</si>
  <si>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</si>
  <si>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</si>
  <si>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</si>
  <si>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</si>
  <si>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</si>
  <si>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</si>
  <si>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</si>
  <si>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</si>
  <si>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</si>
  <si>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</si>
  <si>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</si>
  <si>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</si>
  <si>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</si>
  <si>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</si>
  <si>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</si>
  <si>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</si>
  <si>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</si>
  <si>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</si>
  <si>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</si>
  <si>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</si>
  <si>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</si>
  <si>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</si>
  <si>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</si>
  <si>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</si>
  <si>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</si>
  <si>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</si>
  <si>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K334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</si>
  <si>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</si>
  <si>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</si>
  <si>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</si>
  <si>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</si>
  <si>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</si>
  <si>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</si>
  <si>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</si>
  <si>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</si>
  <si>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K506</t>
  </si>
  <si>
    <t>Egyéb működési célú támogatások államháztartáson belülre</t>
  </si>
  <si>
    <t>Tartalékok</t>
  </si>
  <si>
    <t>Egyéb felhalmozási célú kiadások</t>
  </si>
  <si>
    <t>Finanszírozási kiadások</t>
  </si>
  <si>
    <t>K91</t>
  </si>
  <si>
    <t>Belföldi finanszírozás kiadásai</t>
  </si>
  <si>
    <t>K915</t>
  </si>
  <si>
    <t>B4</t>
  </si>
  <si>
    <t>Működési bevételek</t>
  </si>
  <si>
    <t>B408</t>
  </si>
  <si>
    <t>B816</t>
  </si>
  <si>
    <t>MINDSZENTKÁLLA KÖZSÉG ÖNKORMÁNYZATA</t>
  </si>
  <si>
    <t>1,00</t>
  </si>
  <si>
    <t>Internet</t>
  </si>
  <si>
    <t>018030 Támogatási célú finanszírozási műveletek</t>
  </si>
  <si>
    <t>K9</t>
  </si>
  <si>
    <t>Központi, irányító szervi támogatás folyósítása (Idősek Otthonának)</t>
  </si>
  <si>
    <t>066020 Város -, községgazdálkodási egyéb szolgáltatások</t>
  </si>
  <si>
    <t>013320 Köztemető fenntartás és működtetés</t>
  </si>
  <si>
    <t>066010 Zöldterület - kezelés</t>
  </si>
  <si>
    <t>Üzemeltetési anyagok beszerzése</t>
  </si>
  <si>
    <t>064010 Közvilágítás</t>
  </si>
  <si>
    <t>107055 Falugondnoki, tanyagondnoki szolgáltatás</t>
  </si>
  <si>
    <t>041233 Hosszabb időtartamú közfoglalkoztatás</t>
  </si>
  <si>
    <t>K4</t>
  </si>
  <si>
    <t>Ellátottak pénzbeli támogatásai</t>
  </si>
  <si>
    <t>K48</t>
  </si>
  <si>
    <t>Egyéb nem intézményi ellátások</t>
  </si>
  <si>
    <t>107060 Egyéb szociális pénzbeli és természetbeni ellátások, támogatások</t>
  </si>
  <si>
    <t>013350 Az önkormányzati vagyonnal való gazdálkodással kapcsolatos feladatok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</si>
  <si>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</si>
  <si>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</si>
  <si>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</si>
  <si>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</si>
  <si>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</si>
  <si>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</si>
  <si>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</si>
  <si>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</si>
  <si>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B3</t>
  </si>
  <si>
    <t>Közhatalmi bevételek</t>
  </si>
  <si>
    <t>B34</t>
  </si>
  <si>
    <t>Vagyoni típusú adók</t>
  </si>
  <si>
    <t>B36</t>
  </si>
  <si>
    <t>Egyéb közhatalmi bevételek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</si>
  <si>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</si>
  <si>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</si>
  <si>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</si>
  <si>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</si>
  <si>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</si>
  <si>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</si>
  <si>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</si>
  <si>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</si>
  <si>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</si>
  <si>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</si>
  <si>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</si>
  <si>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</si>
  <si>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</si>
  <si>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</si>
  <si>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</si>
  <si>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</si>
  <si>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</si>
  <si>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</si>
  <si>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</si>
  <si>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</si>
  <si>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</si>
  <si>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</si>
  <si>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018010 Önkormányzatok elszámolásai a központi költségvetéssel</t>
  </si>
  <si>
    <t>Település-üzemeltetéshez kapcsolódó feladatellátás támogatása</t>
  </si>
  <si>
    <t>Egyéb önkormányzati feladatok támogatása</t>
  </si>
  <si>
    <t>Falugondnoki vagy tanyagondnoki szolgálat</t>
  </si>
  <si>
    <t>Idősek átmenti és tartós szakosított ellátási feladatainak támogatása</t>
  </si>
  <si>
    <t>Üdülőhelyi feladatok támogatása</t>
  </si>
  <si>
    <t>B2</t>
  </si>
  <si>
    <t>Felhalmozási célú támogatások államháztartáson belülről</t>
  </si>
  <si>
    <t>B16</t>
  </si>
  <si>
    <t>Egyéb működési célú támogatások bevételei államháztaráson belülről</t>
  </si>
  <si>
    <t>BEVÉTELEK ÖSSZESEN</t>
  </si>
  <si>
    <t>082044 Könyvtári szolgáltatások</t>
  </si>
  <si>
    <t>082092 Közművelődés - hagyományos közösségi kulturális értékek gondozása</t>
  </si>
  <si>
    <t>KIADÁSOK ÖSSZESEN</t>
  </si>
  <si>
    <t>KÁLI - MEDENCE IDŐSEK OTTHONA</t>
  </si>
  <si>
    <t>Kiemelt előirányzatok</t>
  </si>
  <si>
    <t>Létszám (fő)</t>
  </si>
  <si>
    <t>Vásárolt élelmezés</t>
  </si>
  <si>
    <t>Belföldi kiküldetés</t>
  </si>
  <si>
    <t>Létszámkeret:</t>
  </si>
  <si>
    <t>K34</t>
  </si>
  <si>
    <t>Kiküldetések,reklám és propagandakiadások</t>
  </si>
  <si>
    <t>K341</t>
  </si>
  <si>
    <t>Kiküldetés kiadásai</t>
  </si>
  <si>
    <t xml:space="preserve">K332 </t>
  </si>
  <si>
    <t>K7</t>
  </si>
  <si>
    <t>Felújítások</t>
  </si>
  <si>
    <t>B405</t>
  </si>
  <si>
    <t>Ellátási díjak</t>
  </si>
  <si>
    <t>Központi, irányító szervi támogatás</t>
  </si>
  <si>
    <t>Működési bevételek összesen:</t>
  </si>
  <si>
    <t>B6</t>
  </si>
  <si>
    <t>Működési célú átvett pénzeszközök</t>
  </si>
  <si>
    <t>Felhalmozási bevételek összesen:</t>
  </si>
  <si>
    <t>B5</t>
  </si>
  <si>
    <t>Felhalmozási bevételek</t>
  </si>
  <si>
    <t>B7</t>
  </si>
  <si>
    <t>Felhalmozási célú átvett pénzeszközök</t>
  </si>
  <si>
    <t>BEVÉTELEK összesen:</t>
  </si>
  <si>
    <t>Előirányzatok</t>
  </si>
  <si>
    <t>Működési kiadások összesen:</t>
  </si>
  <si>
    <t>Személyi juttatás</t>
  </si>
  <si>
    <t>Munkaadót terhelő járulékok</t>
  </si>
  <si>
    <t>Ellátotak pénzbeli juttatásai</t>
  </si>
  <si>
    <t>Felhalmozási kiadások összesen:</t>
  </si>
  <si>
    <t>K6</t>
  </si>
  <si>
    <t>Beruházások</t>
  </si>
  <si>
    <t xml:space="preserve">K8 </t>
  </si>
  <si>
    <t>BEVÉTELEK ÖSSZESEN:</t>
  </si>
  <si>
    <t xml:space="preserve">kötelező feladatok </t>
  </si>
  <si>
    <t>önként vállalt feladatok</t>
  </si>
  <si>
    <t>Összesen:</t>
  </si>
  <si>
    <t>011130 Önkormányzatokés önkormányzati hivatalok és j.ált. igazgatási tevékenysége</t>
  </si>
  <si>
    <t>066020 Város és községgazdálkodási szolgáltatás</t>
  </si>
  <si>
    <t>107055 Falugondnoki szolgáltatás</t>
  </si>
  <si>
    <t>066010 Zöldterületek kezelése</t>
  </si>
  <si>
    <t>064010 Közvilágítási feladatok</t>
  </si>
  <si>
    <t>082092 Közművelődés-hagyományos közösségi kulturális értékek gondozása</t>
  </si>
  <si>
    <t>Tájékoztató adatok a MŰKÖDÉSI bevételek és kiadások alakulásáról</t>
  </si>
  <si>
    <t>Megnevezés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</si>
  <si>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</si>
  <si>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</si>
  <si>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</si>
  <si>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</si>
  <si>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</si>
  <si>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</si>
  <si>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</si>
  <si>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</si>
  <si>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</si>
  <si>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</si>
  <si>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</si>
  <si>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jogcím csoportonként</t>
  </si>
  <si>
    <t>Jogcím csoportok</t>
  </si>
  <si>
    <t>MINDSZENTKÁLLA  KÖZSÉG ÖNKORMÁNYZATA</t>
  </si>
  <si>
    <t>ÖSSZESEN:</t>
  </si>
  <si>
    <t>082092 Közművelődés- hagyományos közösségi kulturális értékek gondozása</t>
  </si>
  <si>
    <t>B402</t>
  </si>
  <si>
    <t>Szolgáltatások ellenértéke</t>
  </si>
  <si>
    <t>Foglalkoztatottak egyéb személyi juttatásai</t>
  </si>
  <si>
    <t>Könyv, folyóirat</t>
  </si>
  <si>
    <t>K1113</t>
  </si>
  <si>
    <t>K1104</t>
  </si>
  <si>
    <t xml:space="preserve">Készenléti, ügyeleti, helyettesítési díj </t>
  </si>
  <si>
    <t>K1109</t>
  </si>
  <si>
    <t>Közlekedési költségtérítés</t>
  </si>
  <si>
    <t>Lakott külterülettel kapcsolatos feladatok támogatások</t>
  </si>
  <si>
    <t>Kiegészítés</t>
  </si>
  <si>
    <t>Biztosítási díjak</t>
  </si>
  <si>
    <t>Más egyéb szolgáltatások</t>
  </si>
  <si>
    <t>Polgármester tiszteletdíja, költségtérítés</t>
  </si>
  <si>
    <t>államigazgatási feladatok</t>
  </si>
  <si>
    <t>072112 Háziorvosi ügyeleti ellátás</t>
  </si>
  <si>
    <t>Társulások és költségvetési szerveik</t>
  </si>
  <si>
    <t>107052 Házi segítségnyújtás</t>
  </si>
  <si>
    <t>K914</t>
  </si>
  <si>
    <t>Államháztartáson belüli megelőlegezések visszafizetése</t>
  </si>
  <si>
    <t>Szociális feladatok egyéb támogatása</t>
  </si>
  <si>
    <t>B814</t>
  </si>
  <si>
    <t>Államháztartáson belüli megelőlegezések</t>
  </si>
  <si>
    <t xml:space="preserve">072112 Háziorvosi ügyeleti ellátás </t>
  </si>
  <si>
    <t>K513</t>
  </si>
  <si>
    <t>Késedelmi és önellenőrzési pótlék</t>
  </si>
  <si>
    <t>Tárgyi eszközök bérbeadásából származó bevétel</t>
  </si>
  <si>
    <t xml:space="preserve">          Szakmai dolgozók bértámogatása</t>
  </si>
  <si>
    <t xml:space="preserve">          Intézmény-üzemeltetési támogatás</t>
  </si>
  <si>
    <t>A települési önkormányzatok kulturális feladatainak támogatása</t>
  </si>
  <si>
    <t>Társulások és költségvetési szerveik (Tp Környéki Önk.Társulás)</t>
  </si>
  <si>
    <t>K71</t>
  </si>
  <si>
    <t>Ingatlanok felújítása</t>
  </si>
  <si>
    <t>K74</t>
  </si>
  <si>
    <t xml:space="preserve">Felújítási célú előzetesen felszámított áfa </t>
  </si>
  <si>
    <t>Felújítások összesen:</t>
  </si>
  <si>
    <t xml:space="preserve">102023 Időskorúak tartós bentlakásos ellátása                             </t>
  </si>
  <si>
    <t>Előirányzat (Ft)</t>
  </si>
  <si>
    <t>eredeti</t>
  </si>
  <si>
    <t>018020 Központi költségvetési befizetések</t>
  </si>
  <si>
    <t>Előirányzat    (Ft)</t>
  </si>
  <si>
    <t>Előirányzatok adatok Ft-ban</t>
  </si>
  <si>
    <t>(adatok Ft-ban)</t>
  </si>
  <si>
    <t>B65</t>
  </si>
  <si>
    <t>Egyéb működési célú átvett pénzeszközök - háztartások</t>
  </si>
  <si>
    <t>900020 Önkormányzatok funkcióira nem sorolható bevételei államháztartáson kívülről</t>
  </si>
  <si>
    <t>011130 Önkormányzatok és önkormányzati hivatalok és j.ált. igazgatási tevékenysége</t>
  </si>
  <si>
    <t>K355</t>
  </si>
  <si>
    <t>Egyéb dologi kiadások</t>
  </si>
  <si>
    <t>K512</t>
  </si>
  <si>
    <t>Egyéb működési célú támogatások államháztartáson kívülre</t>
  </si>
  <si>
    <t>K67</t>
  </si>
  <si>
    <t>Beruházások összesen:</t>
  </si>
  <si>
    <t>K123</t>
  </si>
  <si>
    <t>Egyszerűsített foglalkoztatottak juttatásai és közterhei</t>
  </si>
  <si>
    <t>Egészségügyi hozzájárulás</t>
  </si>
  <si>
    <t>102023 Időskorúak tartós bentlakásos ellátása</t>
  </si>
  <si>
    <t>K62</t>
  </si>
  <si>
    <t>Ingatlanok beszerzése, létesítése</t>
  </si>
  <si>
    <t>Beruházási célú előzetesen felszámított általános forgalmi adó</t>
  </si>
  <si>
    <t>Vízelvezető árkok burkolása</t>
  </si>
  <si>
    <t>Települési támogatás</t>
  </si>
  <si>
    <t>Belső ellenőrzési feladatokhoz hozzájárulás</t>
  </si>
  <si>
    <t xml:space="preserve"> </t>
  </si>
  <si>
    <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</si>
  <si>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>106020 Lakásfenntartással, lakhatással összefüggő ellátások</t>
  </si>
  <si>
    <t>031060 Bűnmegelőzés</t>
  </si>
  <si>
    <t>Működési célú pénzeszköz átadás egyéb civil szervezeteknek</t>
  </si>
  <si>
    <t>032020 Tűz- és katasztrófavédelmi tevékenységek</t>
  </si>
  <si>
    <t>Polgármesteri illetmény támogatása</t>
  </si>
  <si>
    <t>B21</t>
  </si>
  <si>
    <t>Felhalmozási célú önkormányzati támogatások</t>
  </si>
  <si>
    <t>Egyéb működési célú támogatások bevételei államháztartáson belülről</t>
  </si>
  <si>
    <t>K61</t>
  </si>
  <si>
    <t>Immateriális javak beszerzése</t>
  </si>
  <si>
    <t>2017. teljesítés (adatok Ft-ban)</t>
  </si>
  <si>
    <t>Temetői nyilvántartó program</t>
  </si>
  <si>
    <t>módosított</t>
  </si>
  <si>
    <t>K64</t>
  </si>
  <si>
    <t>Egyéb tárgyi eszközök beszerzése</t>
  </si>
  <si>
    <t>Beruházási célú előzetesen felszámított áfa</t>
  </si>
  <si>
    <t xml:space="preserve">041233 Hosszabb időtartamú közfoglalkoztatás               </t>
  </si>
  <si>
    <t>K502</t>
  </si>
  <si>
    <t>Előző évi elszámolásokból származó kiadások</t>
  </si>
  <si>
    <t>B115</t>
  </si>
  <si>
    <t>Működési célú költségvetési támogatások és kiegészítő támogatások</t>
  </si>
  <si>
    <t>Tárgyi eszközök beszerzése, létesítése</t>
  </si>
  <si>
    <t>K11103</t>
  </si>
  <si>
    <t>Jutalom</t>
  </si>
  <si>
    <t>K1103</t>
  </si>
  <si>
    <t>B411</t>
  </si>
  <si>
    <t>Egyéb működési bevételek</t>
  </si>
  <si>
    <t>Egyéb működési bevétel</t>
  </si>
  <si>
    <t>jutalom</t>
  </si>
  <si>
    <t>Szociális ágazati pótlék</t>
  </si>
  <si>
    <t>2019. évi költségvetés bevételei</t>
  </si>
  <si>
    <t xml:space="preserve">2019. évi költségvetés kiadásai </t>
  </si>
  <si>
    <t>2019. évi Költségvetés Mérlege</t>
  </si>
  <si>
    <t>2019. évi KIADÁSOK részletezése</t>
  </si>
  <si>
    <t>Közutak fenntartásának támogatása</t>
  </si>
  <si>
    <t>Zöld terület gazdálkodás</t>
  </si>
  <si>
    <t>Közvilágítás fenntartásának támogatása</t>
  </si>
  <si>
    <t>2019. évi BEVÉTELEK részletezése</t>
  </si>
  <si>
    <t>Jubielumi jutalom</t>
  </si>
  <si>
    <t>K110_</t>
  </si>
  <si>
    <t>Ágazati pótlékra betervetezett pénzeszköz</t>
  </si>
  <si>
    <t>B410</t>
  </si>
  <si>
    <t>Biztosító által fizetett kártérítési díjak</t>
  </si>
  <si>
    <t>Köztemető fenntartással kapcsolatos feladatok támogatása</t>
  </si>
  <si>
    <t>Egyéb működési célú támogatás elkülönített állami pénzalapoktól</t>
  </si>
  <si>
    <t>104051 Gyerekvédelmi pénzbeli és természetbeni ellátások</t>
  </si>
  <si>
    <t>104051 Gyermekvédelmi és pénzbeli és természetbeni ellátások</t>
  </si>
  <si>
    <t>K483</t>
  </si>
  <si>
    <t>Óvodai ellátás</t>
  </si>
  <si>
    <t>Védőnői szolgáltaás</t>
  </si>
  <si>
    <t>Gyermekvédelmi erzsébet utalvány</t>
  </si>
  <si>
    <t>Gyermekvédelmi Erszébet utalvány</t>
  </si>
  <si>
    <t>2019. eredeti előirányzat</t>
  </si>
  <si>
    <t>2018. teljesítés (adatok Ft-ban)</t>
  </si>
  <si>
    <t>2019. eredeti előirányzat (adatok Ft-ban)</t>
  </si>
  <si>
    <t>Egyéb tárgyi eszközök beszerzése (gépek beszerzése)</t>
  </si>
  <si>
    <t>2019. évi költségvetés BERUHÁZÁSI kiadásai feladatonkénti bontásban</t>
  </si>
  <si>
    <t>Traktor beszerzés</t>
  </si>
  <si>
    <t>Gépek beszerzése</t>
  </si>
  <si>
    <t>Mosógép beszerzése</t>
  </si>
  <si>
    <t>Fűkasza, fűnyíró, motoros fűrész beszerzése</t>
  </si>
  <si>
    <t>Ingatlanok felújítása (vízelvezető árok burkolása)</t>
  </si>
  <si>
    <t>Tartalék:</t>
  </si>
  <si>
    <t>2019. évi BEVÉTELEK feladatonkénti  bontása</t>
  </si>
  <si>
    <t>2019. évi KIADÁSOK feladatonkénti  bontása</t>
  </si>
  <si>
    <t xml:space="preserve"> Előirányzatok adatok Ft-ban</t>
  </si>
  <si>
    <t>2019. évi költségvetés FELÚJÍTÁSI kiadásai célonkénti bontásban</t>
  </si>
  <si>
    <t>1. melléklet a 2/2019. (II. 26.) önkormányzati rendelethez</t>
  </si>
  <si>
    <t>2. melléklet a 2/2019. (II. 26.) önkormányzati rendelethez</t>
  </si>
  <si>
    <t>3. melléklet a 2/2019. (II. 26.) önkormányzati rendelethez</t>
  </si>
  <si>
    <t>4. melléklet a 2/2019. (II. 26.) önkormányzati rendelethez</t>
  </si>
  <si>
    <t>5. melléklet a 2/2019. (II. 26.) önkormányzati rendelethez</t>
  </si>
  <si>
    <t>6. melléklet a 2/2019. (II. 26.) önkormányzati rendelethez</t>
  </si>
  <si>
    <t xml:space="preserve">7. melléklet a 2/2019. (II. 26.) önkormányzati rendelethez  </t>
  </si>
  <si>
    <t>8. melléklet a 2/2019. (II. 26.) önkormányzati rendelethez</t>
  </si>
  <si>
    <t>9. melléklet a 2/2019. (II. 26.) önkormányzati rendelethez</t>
  </si>
  <si>
    <t>10. melléklet a 2/2019. (II. 26.) önkormányzati rendelethez</t>
  </si>
  <si>
    <t>11. melléklet a 2/2019. (II. 26.) önkormányzati rendelethez</t>
  </si>
  <si>
    <t>12. melléklet a 2/2019. (II. 26.) önkormányzati rendelethez</t>
  </si>
  <si>
    <t>13. melléklet a 2/2019. (II. 26.)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</si>
</sst>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_-* #,##0.0\ _F_t_-;\-* #,##0.0\ _F_t_-;_-* &quot;-&quot;??\ _F_t_-;_-@_-"/>
    <numFmt numFmtId="177" formatCode="_-* #,##0\ _F_t_-;\-* #,##0\ _F_t_-;_-* &quot;-&quot;??\ _F_t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20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12"/>
      <color indexed="12"/>
      <name val="Times New Roman"/>
      <family val="1"/>
    </font>
    <font>
      <sz val="10"/>
      <color indexed="62"/>
      <name val="Times New Roman"/>
      <family val="1"/>
    </font>
    <font>
      <sz val="12"/>
      <color rgb="FF7030A0"/>
      <name val="Times New Roman"/>
      <family val="1"/>
    </font>
    <font>
      <sz val="10"/>
      <color rgb="FF7030A0"/>
      <name val="Arial"/>
      <family val="2"/>
    </font>
    <font>
      <sz val="12"/>
      <color rgb="FF0000FF"/>
      <name val="Times New Roman"/>
      <family val="1"/>
    </font>
    <font>
      <sz val="10"/>
      <color rgb="FF7030A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81">
    <xf numFmtId="0" fontId="0" fillId="0" borderId="0" xfId="0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0" fillId="0" borderId="0" xfId="60">
      <alignment/>
      <protection/>
    </xf>
    <xf numFmtId="0" fontId="18" fillId="0" borderId="0" xfId="56">
      <alignment/>
      <protection/>
    </xf>
    <xf numFmtId="0" fontId="1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58">
      <alignment/>
      <protection/>
    </xf>
    <xf numFmtId="3" fontId="0" fillId="0" borderId="0" xfId="58" applyNumberFormat="1">
      <alignment/>
      <protection/>
    </xf>
    <xf numFmtId="0" fontId="0" fillId="0" borderId="0" xfId="60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3" fontId="2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3" fontId="19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59">
      <alignment/>
      <protection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8" fillId="0" borderId="0" xfId="58" applyFont="1">
      <alignment/>
      <protection/>
    </xf>
    <xf numFmtId="0" fontId="37" fillId="0" borderId="0" xfId="58" applyFont="1" applyAlignment="1">
      <alignment horizontal="center"/>
      <protection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9" fillId="24" borderId="0" xfId="0" applyFont="1" applyFill="1" applyAlignment="1">
      <alignment/>
    </xf>
    <xf numFmtId="3" fontId="19" fillId="2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wrapText="1"/>
    </xf>
    <xf numFmtId="2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right"/>
    </xf>
    <xf numFmtId="0" fontId="19" fillId="24" borderId="0" xfId="0" applyFont="1" applyFill="1" applyAlignment="1">
      <alignment horizontal="left"/>
    </xf>
    <xf numFmtId="3" fontId="19" fillId="24" borderId="0" xfId="0" applyNumberFormat="1" applyFont="1" applyFill="1" applyAlignment="1">
      <alignment horizontal="right" wrapText="1"/>
    </xf>
    <xf numFmtId="3" fontId="19" fillId="24" borderId="0" xfId="0" applyNumberFormat="1" applyFont="1" applyFill="1" applyAlignment="1">
      <alignment horizontal="center"/>
    </xf>
    <xf numFmtId="0" fontId="19" fillId="0" borderId="0" xfId="0" applyFont="1" applyAlignment="1">
      <alignment wrapText="1"/>
    </xf>
    <xf numFmtId="0" fontId="18" fillId="0" borderId="10" xfId="0" applyFont="1" applyBorder="1" applyAlignment="1">
      <alignment horizontal="left"/>
    </xf>
    <xf numFmtId="3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wrapText="1"/>
    </xf>
    <xf numFmtId="3" fontId="19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 horizontal="left"/>
    </xf>
    <xf numFmtId="0" fontId="28" fillId="0" borderId="0" xfId="0" applyFont="1" applyAlignment="1">
      <alignment horizontal="left"/>
    </xf>
    <xf numFmtId="3" fontId="18" fillId="0" borderId="10" xfId="0" applyNumberFormat="1" applyFont="1" applyBorder="1" applyAlignment="1">
      <alignment horizontal="right"/>
    </xf>
    <xf numFmtId="49" fontId="19" fillId="24" borderId="10" xfId="0" applyNumberFormat="1" applyFont="1" applyFill="1" applyBorder="1" applyAlignment="1">
      <alignment horizontal="right"/>
    </xf>
    <xf numFmtId="3" fontId="19" fillId="24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left"/>
    </xf>
    <xf numFmtId="3" fontId="18" fillId="0" borderId="10" xfId="0" applyNumberFormat="1" applyFont="1" applyBorder="1" applyAlignment="1">
      <alignment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3" fontId="19" fillId="0" borderId="10" xfId="0" applyNumberFormat="1" applyFont="1" applyBorder="1" applyAlignment="1">
      <alignment horizontal="right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3" fontId="19" fillId="24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3" fontId="19" fillId="0" borderId="11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3" fontId="19" fillId="0" borderId="12" xfId="0" applyNumberFormat="1" applyFont="1" applyBorder="1" applyAlignment="1">
      <alignment horizontal="left"/>
    </xf>
    <xf numFmtId="3" fontId="18" fillId="0" borderId="12" xfId="0" applyNumberFormat="1" applyFont="1" applyBorder="1" applyAlignment="1">
      <alignment horizontal="left"/>
    </xf>
    <xf numFmtId="0" fontId="19" fillId="0" borderId="0" xfId="60" applyFont="1">
      <alignment/>
      <protection/>
    </xf>
    <xf numFmtId="3" fontId="18" fillId="0" borderId="13" xfId="0" applyNumberFormat="1" applyFont="1" applyBorder="1" applyAlignment="1">
      <alignment horizontal="right"/>
    </xf>
    <xf numFmtId="3" fontId="19" fillId="0" borderId="13" xfId="0" applyNumberFormat="1" applyFont="1" applyBorder="1" applyAlignment="1">
      <alignment horizontal="right"/>
    </xf>
    <xf numFmtId="0" fontId="19" fillId="0" borderId="10" xfId="60" applyFont="1" applyBorder="1">
      <alignment/>
      <protection/>
    </xf>
    <xf numFmtId="4" fontId="19" fillId="0" borderId="10" xfId="60" applyNumberFormat="1" applyFont="1" applyBorder="1">
      <alignment/>
      <protection/>
    </xf>
    <xf numFmtId="4" fontId="19" fillId="0" borderId="0" xfId="60" applyNumberFormat="1" applyFont="1">
      <alignment/>
      <protection/>
    </xf>
    <xf numFmtId="3" fontId="18" fillId="0" borderId="13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/>
    </xf>
    <xf numFmtId="0" fontId="19" fillId="0" borderId="14" xfId="60" applyFont="1" applyBorder="1">
      <alignment/>
      <protection/>
    </xf>
    <xf numFmtId="0" fontId="19" fillId="0" borderId="15" xfId="60" applyFont="1" applyBorder="1">
      <alignment/>
      <protection/>
    </xf>
    <xf numFmtId="3" fontId="19" fillId="0" borderId="16" xfId="60" applyNumberFormat="1" applyFont="1" applyBorder="1">
      <alignment/>
      <protection/>
    </xf>
    <xf numFmtId="3" fontId="19" fillId="0" borderId="17" xfId="60" applyNumberFormat="1" applyFont="1" applyBorder="1" applyAlignment="1">
      <alignment horizontal="center" vertical="center" wrapText="1"/>
      <protection/>
    </xf>
    <xf numFmtId="3" fontId="19" fillId="0" borderId="18" xfId="60" applyNumberFormat="1" applyFont="1" applyBorder="1">
      <alignment/>
      <protection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49" fontId="19" fillId="24" borderId="10" xfId="0" applyNumberFormat="1" applyFont="1" applyFill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horizontal="left"/>
    </xf>
    <xf numFmtId="2" fontId="19" fillId="24" borderId="10" xfId="0" applyNumberFormat="1" applyFont="1" applyFill="1" applyBorder="1" applyAlignment="1">
      <alignment horizontal="right"/>
    </xf>
    <xf numFmtId="0" fontId="19" fillId="0" borderId="19" xfId="0" applyFont="1" applyBorder="1" applyAlignment="1">
      <alignment horizontal="left"/>
    </xf>
    <xf numFmtId="3" fontId="18" fillId="0" borderId="0" xfId="0" applyNumberFormat="1" applyFont="1" applyAlignment="1">
      <alignment horizontal="right"/>
    </xf>
    <xf numFmtId="3" fontId="19" fillId="24" borderId="0" xfId="0" applyNumberFormat="1" applyFont="1" applyFill="1" applyAlignment="1">
      <alignment/>
    </xf>
    <xf numFmtId="168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left"/>
    </xf>
    <xf numFmtId="3" fontId="19" fillId="0" borderId="17" xfId="0" applyNumberFormat="1" applyFont="1" applyBorder="1" applyAlignment="1">
      <alignment horizontal="center" vertical="center" wrapText="1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9" fillId="0" borderId="17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17" xfId="58" applyFont="1" applyBorder="1" applyAlignment="1">
      <alignment horizontal="center" vertical="center"/>
      <protection/>
    </xf>
    <xf numFmtId="0" fontId="19" fillId="0" borderId="17" xfId="58" applyFont="1" applyBorder="1" applyAlignment="1">
      <alignment horizontal="center" vertical="center" wrapText="1"/>
      <protection/>
    </xf>
    <xf numFmtId="0" fontId="19" fillId="0" borderId="0" xfId="58" applyFont="1" applyAlignment="1">
      <alignment horizontal="left"/>
      <protection/>
    </xf>
    <xf numFmtId="3" fontId="18" fillId="0" borderId="0" xfId="58" applyNumberFormat="1" applyFont="1" applyAlignment="1">
      <alignment horizontal="right"/>
      <protection/>
    </xf>
    <xf numFmtId="0" fontId="18" fillId="0" borderId="0" xfId="58" applyFont="1" applyAlignment="1">
      <alignment horizontal="right"/>
      <protection/>
    </xf>
    <xf numFmtId="3" fontId="18" fillId="0" borderId="0" xfId="58" applyNumberFormat="1" applyFont="1">
      <alignment/>
      <protection/>
    </xf>
    <xf numFmtId="49" fontId="19" fillId="0" borderId="0" xfId="58" applyNumberFormat="1" applyFont="1" applyAlignment="1">
      <alignment horizontal="left"/>
      <protection/>
    </xf>
    <xf numFmtId="3" fontId="18" fillId="0" borderId="0" xfId="0" applyNumberFormat="1" applyFont="1" applyAlignment="1">
      <alignment wrapText="1"/>
    </xf>
    <xf numFmtId="0" fontId="30" fillId="0" borderId="0" xfId="58" applyFont="1">
      <alignment/>
      <protection/>
    </xf>
    <xf numFmtId="0" fontId="19" fillId="0" borderId="17" xfId="56" applyFont="1" applyBorder="1" applyAlignment="1">
      <alignment horizontal="center" vertical="center" wrapText="1"/>
      <protection/>
    </xf>
    <xf numFmtId="3" fontId="18" fillId="0" borderId="0" xfId="56" applyNumberFormat="1" applyAlignment="1">
      <alignment horizontal="right" vertical="center" wrapText="1"/>
      <protection/>
    </xf>
    <xf numFmtId="3" fontId="19" fillId="0" borderId="14" xfId="56" applyNumberFormat="1" applyFont="1" applyBorder="1" applyAlignment="1">
      <alignment vertical="center"/>
      <protection/>
    </xf>
    <xf numFmtId="3" fontId="19" fillId="0" borderId="14" xfId="56" applyNumberFormat="1" applyFont="1" applyBorder="1" applyAlignment="1">
      <alignment horizontal="right" wrapText="1"/>
      <protection/>
    </xf>
    <xf numFmtId="3" fontId="18" fillId="0" borderId="20" xfId="56" applyNumberFormat="1" applyBorder="1" applyAlignment="1">
      <alignment horizontal="right" vertical="center" wrapText="1"/>
      <protection/>
    </xf>
    <xf numFmtId="3" fontId="19" fillId="0" borderId="14" xfId="56" applyNumberFormat="1" applyFont="1" applyBorder="1" applyAlignment="1">
      <alignment horizontal="right" vertical="center" wrapText="1"/>
      <protection/>
    </xf>
    <xf numFmtId="3" fontId="19" fillId="0" borderId="21" xfId="56" applyNumberFormat="1" applyFont="1" applyBorder="1" applyAlignment="1">
      <alignment wrapText="1"/>
      <protection/>
    </xf>
    <xf numFmtId="0" fontId="18" fillId="0" borderId="0" xfId="56" applyAlignment="1">
      <alignment horizontal="center"/>
      <protection/>
    </xf>
    <xf numFmtId="3" fontId="19" fillId="0" borderId="0" xfId="56" applyNumberFormat="1" applyFont="1" applyAlignment="1">
      <alignment horizontal="right" vertical="center" wrapText="1"/>
      <protection/>
    </xf>
    <xf numFmtId="0" fontId="18" fillId="0" borderId="0" xfId="58" applyFont="1" applyAlignment="1">
      <alignment horizontal="left"/>
      <protection/>
    </xf>
    <xf numFmtId="0" fontId="18" fillId="0" borderId="0" xfId="58" applyFont="1">
      <alignment/>
      <protection/>
    </xf>
    <xf numFmtId="0" fontId="18" fillId="0" borderId="0" xfId="56" applyAlignment="1">
      <alignment vertical="center" wrapText="1"/>
      <protection/>
    </xf>
    <xf numFmtId="0" fontId="18" fillId="0" borderId="14" xfId="56" applyBorder="1">
      <alignment/>
      <protection/>
    </xf>
    <xf numFmtId="0" fontId="19" fillId="0" borderId="14" xfId="56" applyFont="1" applyBorder="1" applyAlignment="1">
      <alignment wrapText="1"/>
      <protection/>
    </xf>
    <xf numFmtId="0" fontId="19" fillId="0" borderId="0" xfId="56" applyFont="1" applyAlignment="1">
      <alignment wrapText="1"/>
      <protection/>
    </xf>
    <xf numFmtId="0" fontId="18" fillId="0" borderId="0" xfId="58" applyFont="1" applyAlignment="1">
      <alignment horizontal="justify"/>
      <protection/>
    </xf>
    <xf numFmtId="0" fontId="18" fillId="0" borderId="21" xfId="56" applyBorder="1">
      <alignment/>
      <protection/>
    </xf>
    <xf numFmtId="0" fontId="19" fillId="0" borderId="21" xfId="56" applyFont="1" applyBorder="1" applyAlignment="1">
      <alignment wrapText="1"/>
      <protection/>
    </xf>
    <xf numFmtId="0" fontId="19" fillId="0" borderId="17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27" fillId="0" borderId="14" xfId="0" applyFont="1" applyBorder="1" applyAlignment="1">
      <alignment/>
    </xf>
    <xf numFmtId="0" fontId="19" fillId="0" borderId="14" xfId="0" applyFont="1" applyBorder="1" applyAlignment="1">
      <alignment horizontal="justify"/>
    </xf>
    <xf numFmtId="0" fontId="18" fillId="0" borderId="17" xfId="0" applyFont="1" applyBorder="1" applyAlignment="1">
      <alignment horizontal="center" vertical="center"/>
    </xf>
    <xf numFmtId="3" fontId="18" fillId="0" borderId="24" xfId="0" applyNumberFormat="1" applyFont="1" applyBorder="1" applyAlignment="1">
      <alignment/>
    </xf>
    <xf numFmtId="3" fontId="19" fillId="0" borderId="17" xfId="0" applyNumberFormat="1" applyFont="1" applyBorder="1" applyAlignment="1">
      <alignment horizontal="right"/>
    </xf>
    <xf numFmtId="0" fontId="18" fillId="0" borderId="0" xfId="57" applyAlignment="1">
      <alignment horizontal="center" vertical="center"/>
      <protection/>
    </xf>
    <xf numFmtId="0" fontId="18" fillId="0" borderId="0" xfId="57">
      <alignment/>
      <protection/>
    </xf>
    <xf numFmtId="3" fontId="19" fillId="0" borderId="17" xfId="57" applyNumberFormat="1" applyFont="1" applyBorder="1" applyAlignment="1">
      <alignment horizontal="center"/>
      <protection/>
    </xf>
    <xf numFmtId="3" fontId="19" fillId="0" borderId="17" xfId="57" applyNumberFormat="1" applyFont="1" applyBorder="1" applyAlignment="1">
      <alignment horizontal="center" vertical="center"/>
      <protection/>
    </xf>
    <xf numFmtId="0" fontId="19" fillId="0" borderId="17" xfId="57" applyFont="1" applyBorder="1" applyAlignment="1">
      <alignment horizontal="left" vertical="center"/>
      <protection/>
    </xf>
    <xf numFmtId="3" fontId="19" fillId="0" borderId="17" xfId="57" applyNumberFormat="1" applyFont="1" applyBorder="1" applyAlignment="1">
      <alignment horizontal="right" vertical="center"/>
      <protection/>
    </xf>
    <xf numFmtId="0" fontId="18" fillId="0" borderId="17" xfId="57" applyBorder="1" applyAlignment="1">
      <alignment horizontal="left" vertical="center"/>
      <protection/>
    </xf>
    <xf numFmtId="3" fontId="18" fillId="0" borderId="17" xfId="57" applyNumberFormat="1" applyBorder="1" applyAlignment="1">
      <alignment horizontal="right" vertical="center"/>
      <protection/>
    </xf>
    <xf numFmtId="0" fontId="18" fillId="0" borderId="0" xfId="57" applyAlignment="1">
      <alignment horizontal="left"/>
      <protection/>
    </xf>
    <xf numFmtId="0" fontId="19" fillId="0" borderId="0" xfId="57" applyFont="1">
      <alignment/>
      <protection/>
    </xf>
    <xf numFmtId="0" fontId="19" fillId="24" borderId="0" xfId="0" applyFont="1" applyFill="1" applyAlignment="1">
      <alignment/>
    </xf>
    <xf numFmtId="0" fontId="19" fillId="24" borderId="11" xfId="0" applyFont="1" applyFill="1" applyBorder="1" applyAlignment="1">
      <alignment horizontal="left"/>
    </xf>
    <xf numFmtId="3" fontId="19" fillId="24" borderId="11" xfId="0" applyNumberFormat="1" applyFont="1" applyFill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18" fillId="0" borderId="25" xfId="0" applyNumberFormat="1" applyFont="1" applyBorder="1" applyAlignment="1">
      <alignment horizontal="left"/>
    </xf>
    <xf numFmtId="0" fontId="19" fillId="0" borderId="17" xfId="57" applyFont="1" applyBorder="1" applyAlignment="1">
      <alignment horizontal="left"/>
      <protection/>
    </xf>
    <xf numFmtId="3" fontId="19" fillId="0" borderId="17" xfId="57" applyNumberFormat="1" applyFont="1" applyBorder="1" applyAlignment="1">
      <alignment horizontal="right"/>
      <protection/>
    </xf>
    <xf numFmtId="0" fontId="18" fillId="0" borderId="0" xfId="0" applyFont="1" applyAlignment="1">
      <alignment horizontal="center" vertical="center"/>
    </xf>
    <xf numFmtId="0" fontId="18" fillId="0" borderId="0" xfId="60" applyFont="1" applyAlignment="1">
      <alignment horizontal="right"/>
      <protection/>
    </xf>
    <xf numFmtId="4" fontId="19" fillId="0" borderId="26" xfId="60" applyNumberFormat="1" applyFont="1" applyBorder="1">
      <alignment/>
      <protection/>
    </xf>
    <xf numFmtId="3" fontId="19" fillId="0" borderId="27" xfId="60" applyNumberFormat="1" applyFont="1" applyBorder="1">
      <alignment/>
      <protection/>
    </xf>
    <xf numFmtId="0" fontId="18" fillId="0" borderId="28" xfId="0" applyFont="1" applyBorder="1" applyAlignment="1">
      <alignment horizontal="left"/>
    </xf>
    <xf numFmtId="3" fontId="3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right" wrapText="1"/>
    </xf>
    <xf numFmtId="0" fontId="30" fillId="0" borderId="0" xfId="60" applyFont="1">
      <alignment/>
      <protection/>
    </xf>
    <xf numFmtId="177" fontId="18" fillId="0" borderId="0" xfId="40" applyNumberFormat="1" applyFont="1" applyAlignment="1">
      <alignment/>
    </xf>
    <xf numFmtId="0" fontId="18" fillId="0" borderId="13" xfId="0" applyFont="1" applyBorder="1" applyAlignment="1">
      <alignment horizontal="left"/>
    </xf>
    <xf numFmtId="0" fontId="19" fillId="0" borderId="13" xfId="0" applyFont="1" applyBorder="1" applyAlignment="1">
      <alignment/>
    </xf>
    <xf numFmtId="0" fontId="19" fillId="0" borderId="29" xfId="0" applyFont="1" applyBorder="1" applyAlignment="1">
      <alignment/>
    </xf>
    <xf numFmtId="177" fontId="18" fillId="0" borderId="13" xfId="4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center"/>
    </xf>
    <xf numFmtId="177" fontId="18" fillId="0" borderId="13" xfId="40" applyNumberFormat="1" applyFont="1" applyBorder="1" applyAlignment="1">
      <alignment vertical="center"/>
    </xf>
    <xf numFmtId="0" fontId="19" fillId="0" borderId="30" xfId="0" applyFont="1" applyBorder="1" applyAlignment="1">
      <alignment/>
    </xf>
    <xf numFmtId="0" fontId="19" fillId="0" borderId="21" xfId="0" applyFont="1" applyBorder="1" applyAlignment="1">
      <alignment/>
    </xf>
    <xf numFmtId="3" fontId="19" fillId="0" borderId="24" xfId="0" applyNumberFormat="1" applyFont="1" applyBorder="1" applyAlignment="1">
      <alignment/>
    </xf>
    <xf numFmtId="3" fontId="18" fillId="0" borderId="13" xfId="0" applyNumberFormat="1" applyFont="1" applyBorder="1" applyAlignment="1">
      <alignment horizontal="left"/>
    </xf>
    <xf numFmtId="3" fontId="18" fillId="0" borderId="13" xfId="0" applyNumberFormat="1" applyFont="1" applyBorder="1" applyAlignment="1">
      <alignment horizontal="center" wrapText="1"/>
    </xf>
    <xf numFmtId="3" fontId="18" fillId="0" borderId="16" xfId="0" applyNumberFormat="1" applyFont="1" applyBorder="1" applyAlignment="1">
      <alignment horizontal="left"/>
    </xf>
    <xf numFmtId="0" fontId="18" fillId="0" borderId="0" xfId="56" applyAlignment="1">
      <alignment horizontal="right"/>
      <protection/>
    </xf>
    <xf numFmtId="3" fontId="18" fillId="0" borderId="0" xfId="60" applyNumberFormat="1" applyFont="1">
      <alignment/>
      <protection/>
    </xf>
    <xf numFmtId="0" fontId="19" fillId="0" borderId="31" xfId="56" applyFont="1" applyBorder="1" applyAlignment="1">
      <alignment horizontal="center" vertical="center" wrapText="1"/>
      <protection/>
    </xf>
    <xf numFmtId="0" fontId="19" fillId="0" borderId="14" xfId="56" applyFont="1" applyBorder="1" applyAlignment="1">
      <alignment horizontal="center" vertical="center" wrapText="1"/>
      <protection/>
    </xf>
    <xf numFmtId="0" fontId="30" fillId="0" borderId="0" xfId="0" applyFont="1" applyAlignment="1">
      <alignment wrapText="1"/>
    </xf>
    <xf numFmtId="0" fontId="0" fillId="0" borderId="0" xfId="60" applyFont="1" applyAlignment="1">
      <alignment wrapText="1"/>
      <protection/>
    </xf>
    <xf numFmtId="0" fontId="40" fillId="0" borderId="0" xfId="0" applyFont="1" applyAlignment="1">
      <alignment wrapText="1"/>
    </xf>
    <xf numFmtId="0" fontId="31" fillId="0" borderId="0" xfId="0" applyFont="1" applyAlignment="1">
      <alignment wrapText="1"/>
    </xf>
    <xf numFmtId="3" fontId="31" fillId="0" borderId="0" xfId="60" applyNumberFormat="1" applyFont="1" applyAlignment="1">
      <alignment wrapText="1"/>
      <protection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left" wrapText="1"/>
    </xf>
    <xf numFmtId="3" fontId="31" fillId="0" borderId="0" xfId="0" applyNumberFormat="1" applyFont="1" applyAlignment="1">
      <alignment wrapText="1"/>
    </xf>
    <xf numFmtId="3" fontId="30" fillId="0" borderId="0" xfId="0" applyNumberFormat="1" applyFont="1" applyAlignment="1">
      <alignment wrapText="1"/>
    </xf>
    <xf numFmtId="4" fontId="19" fillId="0" borderId="0" xfId="60" applyNumberFormat="1" applyFont="1" applyAlignment="1">
      <alignment horizontal="right"/>
      <protection/>
    </xf>
    <xf numFmtId="3" fontId="19" fillId="0" borderId="0" xfId="60" applyNumberFormat="1" applyFont="1" applyAlignment="1">
      <alignment vertical="center"/>
      <protection/>
    </xf>
    <xf numFmtId="4" fontId="19" fillId="0" borderId="0" xfId="60" applyNumberFormat="1" applyFont="1" applyAlignment="1">
      <alignment horizontal="right" vertical="center"/>
      <protection/>
    </xf>
    <xf numFmtId="0" fontId="19" fillId="0" borderId="0" xfId="60" applyFont="1" applyAlignment="1">
      <alignment horizontal="right"/>
      <protection/>
    </xf>
    <xf numFmtId="0" fontId="18" fillId="0" borderId="0" xfId="60" applyFont="1">
      <alignment/>
      <protection/>
    </xf>
    <xf numFmtId="3" fontId="19" fillId="0" borderId="0" xfId="60" applyNumberFormat="1" applyFont="1">
      <alignment/>
      <protection/>
    </xf>
    <xf numFmtId="0" fontId="19" fillId="0" borderId="14" xfId="60" applyFont="1" applyBorder="1" applyAlignment="1">
      <alignment horizontal="right"/>
      <protection/>
    </xf>
    <xf numFmtId="3" fontId="19" fillId="0" borderId="14" xfId="60" applyNumberFormat="1" applyFont="1" applyBorder="1">
      <alignment/>
      <protection/>
    </xf>
    <xf numFmtId="177" fontId="18" fillId="0" borderId="0" xfId="40" applyNumberFormat="1" applyFont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177" fontId="30" fillId="0" borderId="0" xfId="40" applyNumberFormat="1" applyFont="1" applyAlignment="1">
      <alignment horizontal="center" vertical="center"/>
    </xf>
    <xf numFmtId="0" fontId="19" fillId="0" borderId="32" xfId="57" applyFont="1" applyBorder="1" applyAlignment="1">
      <alignment horizontal="left"/>
      <protection/>
    </xf>
    <xf numFmtId="3" fontId="19" fillId="0" borderId="32" xfId="57" applyNumberFormat="1" applyFont="1" applyBorder="1" applyAlignment="1">
      <alignment horizontal="right"/>
      <protection/>
    </xf>
    <xf numFmtId="0" fontId="18" fillId="0" borderId="33" xfId="57" applyBorder="1" applyAlignment="1">
      <alignment horizontal="left" vertical="center"/>
      <protection/>
    </xf>
    <xf numFmtId="3" fontId="18" fillId="0" borderId="33" xfId="57" applyNumberFormat="1" applyBorder="1" applyAlignment="1">
      <alignment horizontal="right" vertical="center"/>
      <protection/>
    </xf>
    <xf numFmtId="3" fontId="18" fillId="0" borderId="0" xfId="56" applyNumberFormat="1">
      <alignment/>
      <protection/>
    </xf>
    <xf numFmtId="177" fontId="0" fillId="0" borderId="0" xfId="40" applyNumberFormat="1" applyAlignment="1">
      <alignment/>
    </xf>
    <xf numFmtId="177" fontId="18" fillId="0" borderId="0" xfId="4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/>
    </xf>
    <xf numFmtId="0" fontId="19" fillId="0" borderId="17" xfId="58" applyFont="1" applyBorder="1" applyAlignment="1">
      <alignment horizontal="left"/>
      <protection/>
    </xf>
    <xf numFmtId="3" fontId="19" fillId="0" borderId="17" xfId="58" applyNumberFormat="1" applyFont="1" applyBorder="1">
      <alignment/>
      <protection/>
    </xf>
    <xf numFmtId="177" fontId="32" fillId="0" borderId="0" xfId="40" applyNumberFormat="1" applyFont="1" applyAlignment="1">
      <alignment horizontal="center" vertical="center"/>
    </xf>
    <xf numFmtId="0" fontId="0" fillId="0" borderId="0" xfId="60" applyFont="1">
      <alignment/>
      <protection/>
    </xf>
    <xf numFmtId="3" fontId="18" fillId="0" borderId="0" xfId="0" applyNumberFormat="1" applyFont="1" applyAlignment="1">
      <alignment horizontal="center" wrapText="1"/>
    </xf>
    <xf numFmtId="3" fontId="19" fillId="0" borderId="18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3" fontId="19" fillId="24" borderId="23" xfId="0" applyNumberFormat="1" applyFont="1" applyFill="1" applyBorder="1" applyAlignment="1">
      <alignment horizontal="right"/>
    </xf>
    <xf numFmtId="3" fontId="18" fillId="0" borderId="10" xfId="0" applyNumberFormat="1" applyFont="1" applyBorder="1" applyAlignment="1">
      <alignment horizontal="center" wrapText="1"/>
    </xf>
    <xf numFmtId="3" fontId="18" fillId="0" borderId="29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24" borderId="0" xfId="0" applyFont="1" applyFill="1" applyAlignment="1">
      <alignment wrapText="1"/>
    </xf>
    <xf numFmtId="0" fontId="24" fillId="24" borderId="0" xfId="0" applyFont="1" applyFill="1" applyAlignment="1">
      <alignment wrapText="1"/>
    </xf>
    <xf numFmtId="0" fontId="18" fillId="0" borderId="0" xfId="0" applyFont="1" applyAlignment="1">
      <alignment horizontal="center"/>
    </xf>
    <xf numFmtId="0" fontId="18" fillId="0" borderId="0" xfId="60" applyFont="1" applyAlignment="1">
      <alignment horizontal="right"/>
      <protection/>
    </xf>
    <xf numFmtId="0" fontId="18" fillId="0" borderId="0" xfId="0" applyFont="1" applyAlignment="1">
      <alignment wrapText="1"/>
    </xf>
    <xf numFmtId="0" fontId="18" fillId="0" borderId="0" xfId="58" applyFont="1" applyAlignment="1">
      <alignment horizontal="center"/>
      <protection/>
    </xf>
    <xf numFmtId="0" fontId="18" fillId="0" borderId="0" xfId="58" applyFont="1" applyAlignment="1">
      <alignment horizontal="right"/>
      <protection/>
    </xf>
    <xf numFmtId="0" fontId="19" fillId="24" borderId="0" xfId="0" applyFont="1" applyFill="1" applyAlignment="1">
      <alignment/>
    </xf>
    <xf numFmtId="0" fontId="0" fillId="0" borderId="0" xfId="0" applyAlignment="1">
      <alignment/>
    </xf>
    <xf numFmtId="0" fontId="24" fillId="24" borderId="10" xfId="0" applyFont="1" applyFill="1" applyBorder="1" applyAlignment="1">
      <alignment wrapText="1"/>
    </xf>
    <xf numFmtId="0" fontId="19" fillId="24" borderId="22" xfId="0" applyFont="1" applyFill="1" applyBorder="1" applyAlignment="1">
      <alignment wrapText="1"/>
    </xf>
    <xf numFmtId="0" fontId="24" fillId="24" borderId="22" xfId="0" applyFont="1" applyFill="1" applyBorder="1" applyAlignment="1">
      <alignment wrapText="1"/>
    </xf>
    <xf numFmtId="0" fontId="24" fillId="24" borderId="23" xfId="0" applyFont="1" applyFill="1" applyBorder="1" applyAlignment="1">
      <alignment wrapText="1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8" fillId="0" borderId="0" xfId="58" applyFont="1" applyAlignment="1">
      <alignment horizontal="center" vertical="center"/>
      <protection/>
    </xf>
    <xf numFmtId="0" fontId="19" fillId="0" borderId="17" xfId="56" applyFont="1" applyBorder="1" applyAlignment="1">
      <alignment horizontal="center" vertical="center" wrapText="1"/>
      <protection/>
    </xf>
    <xf numFmtId="0" fontId="18" fillId="0" borderId="0" xfId="56" applyAlignment="1">
      <alignment horizontal="center" vertical="center"/>
      <protection/>
    </xf>
    <xf numFmtId="0" fontId="18" fillId="0" borderId="0" xfId="56" applyAlignment="1">
      <alignment horizontal="right"/>
      <protection/>
    </xf>
    <xf numFmtId="0" fontId="18" fillId="0" borderId="0" xfId="56" applyAlignment="1">
      <alignment horizontal="center"/>
      <protection/>
    </xf>
    <xf numFmtId="0" fontId="18" fillId="0" borderId="0" xfId="0" applyFont="1" applyAlignment="1">
      <alignment horizontal="right" vertical="center"/>
    </xf>
    <xf numFmtId="0" fontId="19" fillId="0" borderId="34" xfId="0" applyFont="1" applyBorder="1" applyAlignment="1">
      <alignment horizontal="justify"/>
    </xf>
    <xf numFmtId="0" fontId="0" fillId="0" borderId="35" xfId="0" applyBorder="1" applyAlignment="1">
      <alignment horizontal="justify"/>
    </xf>
    <xf numFmtId="0" fontId="19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0" xfId="59" applyFont="1" applyAlignment="1">
      <alignment horizontal="right"/>
      <protection/>
    </xf>
    <xf numFmtId="0" fontId="18" fillId="0" borderId="0" xfId="57" applyAlignment="1">
      <alignment horizontal="center" vertical="center"/>
      <protection/>
    </xf>
    <xf numFmtId="0" fontId="19" fillId="0" borderId="17" xfId="57" applyFont="1" applyBorder="1" applyAlignment="1">
      <alignment horizontal="center" vertical="center"/>
      <protection/>
    </xf>
    <xf numFmtId="0" fontId="19" fillId="0" borderId="39" xfId="60" applyFont="1" applyBorder="1" applyAlignment="1">
      <alignment horizontal="left"/>
      <protection/>
    </xf>
    <xf numFmtId="0" fontId="19" fillId="0" borderId="26" xfId="60" applyFont="1" applyBorder="1" applyAlignment="1">
      <alignment horizontal="left"/>
      <protection/>
    </xf>
    <xf numFmtId="0" fontId="19" fillId="0" borderId="22" xfId="60" applyFont="1" applyBorder="1" applyAlignment="1">
      <alignment horizontal="left"/>
      <protection/>
    </xf>
    <xf numFmtId="0" fontId="19" fillId="0" borderId="23" xfId="60" applyFont="1" applyBorder="1" applyAlignment="1">
      <alignment horizontal="left"/>
      <protection/>
    </xf>
    <xf numFmtId="0" fontId="18" fillId="0" borderId="0" xfId="60" applyFont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19" fillId="0" borderId="0" xfId="60" applyFont="1" applyAlignment="1">
      <alignment horizontal="left"/>
      <protection/>
    </xf>
    <xf numFmtId="0" fontId="19" fillId="0" borderId="10" xfId="60" applyFont="1" applyBorder="1" applyAlignment="1">
      <alignment horizontal="left"/>
      <protection/>
    </xf>
    <xf numFmtId="3" fontId="19" fillId="0" borderId="17" xfId="60" applyNumberFormat="1" applyFont="1" applyBorder="1" applyAlignment="1">
      <alignment horizontal="center" vertical="center" wrapText="1"/>
      <protection/>
    </xf>
    <xf numFmtId="0" fontId="30" fillId="0" borderId="17" xfId="0" applyFont="1" applyBorder="1" applyAlignment="1">
      <alignment horizontal="center" vertical="center"/>
    </xf>
    <xf numFmtId="0" fontId="19" fillId="0" borderId="17" xfId="60" applyFont="1" applyBorder="1" applyAlignment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2010. évi költségvetés mellékletek_Mkálla 3.4 éves ktgvetés mód. 2013. 2" xfId="57"/>
    <cellStyle name="Normál_Köveskál 2014. évi költségvetés" xfId="58"/>
    <cellStyle name="Normál_Mkálla 3.4 éves ktgvetés mód. 2013. 2" xfId="59"/>
    <cellStyle name="Normál_Mkálla ktgvetés 2013.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7"/>
  <sheetViews>
    <sheetView zoomScale="110" zoomScaleNormal="110" zoomScaleSheetLayoutView="100" zoomScalePageLayoutView="0" workbookViewId="0" topLeftCell="A1">
      <selection activeCell="A3" sqref="A3:B3"/>
    </sheetView>
  </sheetViews>
  <sheetFormatPr defaultColWidth="9.140625" defaultRowHeight="12.75"/>
  <cols>
    <col min="1" max="1" width="4.421875" style="7" customWidth="1"/>
    <col min="2" max="2" width="66.421875" style="7" customWidth="1"/>
    <col min="3" max="3" width="16.140625" style="7" customWidth="1"/>
    <col min="4" max="16384" width="9.140625" style="7" customWidth="1"/>
  </cols>
  <sheetData>
    <row r="1" spans="1:3" ht="15.75">
      <c r="A1" s="236" t="s">
        <v>323</v>
      </c>
      <c r="B1" s="236"/>
      <c r="C1" s="236"/>
    </row>
    <row r="2" spans="1:2" s="1" customFormat="1" ht="15.75">
      <c r="A2" s="236"/>
      <c r="B2" s="236"/>
    </row>
    <row r="3" spans="1:2" s="1" customFormat="1" ht="24.75" customHeight="1">
      <c r="A3" s="234" t="s">
        <v>60</v>
      </c>
      <c r="B3" s="234"/>
    </row>
    <row r="4" spans="1:2" s="1" customFormat="1" ht="26.25" customHeight="1">
      <c r="A4" s="234" t="s">
        <v>288</v>
      </c>
      <c r="B4" s="234"/>
    </row>
    <row r="5" spans="1:3" s="22" customFormat="1" ht="19.5" customHeight="1">
      <c r="A5" s="23"/>
      <c r="B5" s="23"/>
      <c r="C5" s="23"/>
    </row>
    <row r="6" spans="1:3" s="1" customFormat="1" ht="32.25" customHeight="1">
      <c r="A6" s="235" t="s">
        <v>154</v>
      </c>
      <c r="B6" s="235"/>
      <c r="C6" s="103" t="s">
        <v>231</v>
      </c>
    </row>
    <row r="7" spans="1:3" s="1" customFormat="1" ht="24" customHeight="1">
      <c r="A7" s="235"/>
      <c r="B7" s="235"/>
      <c r="C7" s="103" t="s">
        <v>229</v>
      </c>
    </row>
    <row r="8" spans="1:3" s="1" customFormat="1" ht="31.5" customHeight="1">
      <c r="A8" s="34"/>
      <c r="B8" s="34" t="s">
        <v>145</v>
      </c>
      <c r="C8" s="54">
        <f>SUM(C9:C12)</f>
        <v>79775235.4</v>
      </c>
    </row>
    <row r="9" spans="1:3" s="1" customFormat="1" ht="15.75">
      <c r="A9" s="1" t="s">
        <v>106</v>
      </c>
      <c r="B9" s="6" t="s">
        <v>107</v>
      </c>
      <c r="C9" s="62">
        <f>'7.Táj.adatok műk.'!E6</f>
        <v>45769135.4</v>
      </c>
    </row>
    <row r="10" spans="1:3" s="1" customFormat="1" ht="15.75">
      <c r="A10" s="1" t="s">
        <v>87</v>
      </c>
      <c r="B10" s="6" t="s">
        <v>88</v>
      </c>
      <c r="C10" s="62">
        <f>'7.Táj.adatok műk.'!E7</f>
        <v>9150000</v>
      </c>
    </row>
    <row r="11" spans="1:3" s="1" customFormat="1" ht="15.75">
      <c r="A11" s="1" t="s">
        <v>56</v>
      </c>
      <c r="B11" s="6" t="s">
        <v>57</v>
      </c>
      <c r="C11" s="62">
        <f>'7.Táj.adatok műk.'!E8</f>
        <v>24851100</v>
      </c>
    </row>
    <row r="12" spans="1:3" s="1" customFormat="1" ht="15.75">
      <c r="A12" s="1" t="s">
        <v>146</v>
      </c>
      <c r="B12" s="6" t="s">
        <v>147</v>
      </c>
      <c r="C12" s="62">
        <f>'7.Táj.adatok műk.'!E9</f>
        <v>5000</v>
      </c>
    </row>
    <row r="13" spans="1:3" s="1" customFormat="1" ht="29.25" customHeight="1">
      <c r="A13" s="34"/>
      <c r="B13" s="34" t="s">
        <v>148</v>
      </c>
      <c r="C13" s="54">
        <f>SUM(C14)</f>
        <v>0</v>
      </c>
    </row>
    <row r="14" spans="1:3" s="1" customFormat="1" ht="17.25" customHeight="1">
      <c r="A14" s="1" t="s">
        <v>121</v>
      </c>
      <c r="B14" s="1" t="s">
        <v>122</v>
      </c>
      <c r="C14" s="62">
        <f>'8.Táj.adatok felh.'!E7</f>
        <v>0</v>
      </c>
    </row>
    <row r="15" spans="1:3" s="1" customFormat="1" ht="30" customHeight="1">
      <c r="A15" s="34" t="s">
        <v>79</v>
      </c>
      <c r="B15" s="32" t="s">
        <v>80</v>
      </c>
      <c r="C15" s="54">
        <f>'7.Táj.adatok műk.'!E10</f>
        <v>31351543</v>
      </c>
    </row>
    <row r="16" spans="1:105" s="135" customFormat="1" ht="30" customHeight="1">
      <c r="A16" s="88"/>
      <c r="B16" s="88" t="s">
        <v>153</v>
      </c>
      <c r="C16" s="134">
        <f>SUM(C8+C13+C15)</f>
        <v>111126778.4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</row>
    <row r="17" spans="1:3" s="138" customFormat="1" ht="30" customHeight="1">
      <c r="A17" s="136"/>
      <c r="B17" s="136" t="s">
        <v>155</v>
      </c>
      <c r="C17" s="137">
        <f>SUM(C18:C22)</f>
        <v>102630594.25999999</v>
      </c>
    </row>
    <row r="18" spans="1:3" ht="15.75">
      <c r="A18" s="1" t="s">
        <v>11</v>
      </c>
      <c r="B18" s="139" t="s">
        <v>156</v>
      </c>
      <c r="C18" s="62">
        <f>'7.Táj.adatok műk.'!E13</f>
        <v>39848388</v>
      </c>
    </row>
    <row r="19" spans="1:3" ht="15.75">
      <c r="A19" s="1" t="s">
        <v>19</v>
      </c>
      <c r="B19" s="1" t="s">
        <v>157</v>
      </c>
      <c r="C19" s="62">
        <f>'7.Táj.adatok műk.'!E14</f>
        <v>7279720.26</v>
      </c>
    </row>
    <row r="20" spans="1:3" ht="15.75">
      <c r="A20" s="1" t="s">
        <v>21</v>
      </c>
      <c r="B20" s="6" t="s">
        <v>22</v>
      </c>
      <c r="C20" s="62">
        <f>'7.Táj.adatok műk.'!E15</f>
        <v>33826523</v>
      </c>
    </row>
    <row r="21" spans="1:3" ht="15.75">
      <c r="A21" s="1" t="s">
        <v>73</v>
      </c>
      <c r="B21" s="139" t="s">
        <v>158</v>
      </c>
      <c r="C21" s="62">
        <f>'7.Táj.adatok műk.'!E16</f>
        <v>2915000</v>
      </c>
    </row>
    <row r="22" spans="1:3" ht="15.75">
      <c r="A22" s="1" t="s">
        <v>46</v>
      </c>
      <c r="B22" s="139" t="s">
        <v>47</v>
      </c>
      <c r="C22" s="62">
        <f>'7.Táj.adatok műk.'!E17</f>
        <v>18760963</v>
      </c>
    </row>
    <row r="23" spans="1:3" s="138" customFormat="1" ht="28.5" customHeight="1">
      <c r="A23" s="34"/>
      <c r="B23" s="34" t="s">
        <v>159</v>
      </c>
      <c r="C23" s="54">
        <f>SUM(C24:C25)</f>
        <v>3662050</v>
      </c>
    </row>
    <row r="24" spans="1:3" ht="17.25" customHeight="1">
      <c r="A24" s="1" t="s">
        <v>160</v>
      </c>
      <c r="B24" s="1" t="s">
        <v>161</v>
      </c>
      <c r="C24" s="62">
        <f>'8.Táj.adatok felh.'!E12</f>
        <v>2662050</v>
      </c>
    </row>
    <row r="25" spans="1:3" ht="15.75">
      <c r="A25" s="1" t="s">
        <v>140</v>
      </c>
      <c r="B25" s="139" t="s">
        <v>141</v>
      </c>
      <c r="C25" s="62">
        <f>'8.Táj.adatok felh.'!E13</f>
        <v>1000000</v>
      </c>
    </row>
    <row r="26" spans="1:3" s="138" customFormat="1" ht="27.75" customHeight="1">
      <c r="A26" s="34" t="s">
        <v>64</v>
      </c>
      <c r="B26" s="140" t="s">
        <v>52</v>
      </c>
      <c r="C26" s="54">
        <f>'7.Táj.adatok műk.'!E18</f>
        <v>4834134</v>
      </c>
    </row>
    <row r="27" spans="1:3" s="138" customFormat="1" ht="28.5" customHeight="1">
      <c r="A27" s="141"/>
      <c r="B27" s="142" t="s">
        <v>128</v>
      </c>
      <c r="C27" s="134">
        <f>SUM(C17+C23+C26)</f>
        <v>111126778.25999999</v>
      </c>
    </row>
    <row r="28" ht="12.75"/>
    <row r="29" ht="12.75"/>
  </sheetData>
  <sheetProtection/>
  <mergeCells count="5">
    <mergeCell ref="A4:B4"/>
    <mergeCell ref="A6:B7"/>
    <mergeCell ref="A2:B2"/>
    <mergeCell ref="A3:B3"/>
    <mergeCell ref="A1:C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zoomScale="110" zoomScaleNormal="110" workbookViewId="0" topLeftCell="A1">
      <selection activeCell="A1" sqref="A1:B1"/>
    </sheetView>
  </sheetViews>
  <sheetFormatPr defaultColWidth="9.140625" defaultRowHeight="12.75"/>
  <cols>
    <col min="1" max="1" width="54.140625" style="21" customWidth="1"/>
    <col min="2" max="2" width="21.8515625" style="21" customWidth="1"/>
    <col min="3" max="16384" width="9.140625" style="21" customWidth="1"/>
  </cols>
  <sheetData>
    <row r="1" spans="1:2" ht="15.75">
      <c r="A1" s="267" t="s">
        <v>332</v>
      </c>
      <c r="B1" s="267"/>
    </row>
    <row r="2" spans="1:2" ht="15.75">
      <c r="A2" s="267"/>
      <c r="B2" s="267"/>
    </row>
    <row r="3" spans="1:2" s="147" customFormat="1" ht="21" customHeight="1">
      <c r="A3" s="268" t="s">
        <v>60</v>
      </c>
      <c r="B3" s="268"/>
    </row>
    <row r="4" spans="1:2" s="147" customFormat="1" ht="23.25" customHeight="1">
      <c r="A4" s="268" t="s">
        <v>312</v>
      </c>
      <c r="B4" s="268"/>
    </row>
    <row r="5" spans="1:2" s="147" customFormat="1" ht="23.25" customHeight="1">
      <c r="A5" s="146"/>
      <c r="B5" s="146"/>
    </row>
    <row r="6" spans="1:2" s="147" customFormat="1" ht="15.75" customHeight="1">
      <c r="A6" s="269" t="s">
        <v>174</v>
      </c>
      <c r="B6" s="148" t="s">
        <v>228</v>
      </c>
    </row>
    <row r="7" spans="1:2" s="147" customFormat="1" ht="39" customHeight="1">
      <c r="A7" s="269"/>
      <c r="B7" s="149" t="s">
        <v>229</v>
      </c>
    </row>
    <row r="8" spans="1:2" s="147" customFormat="1" ht="23.25" customHeight="1">
      <c r="A8" s="150" t="s">
        <v>249</v>
      </c>
      <c r="B8" s="151">
        <f>SUM(B9)</f>
        <v>1000000</v>
      </c>
    </row>
    <row r="9" spans="1:2" s="154" customFormat="1" ht="23.25" customHeight="1">
      <c r="A9" s="152" t="s">
        <v>251</v>
      </c>
      <c r="B9" s="153">
        <v>1000000</v>
      </c>
    </row>
    <row r="10" spans="1:2" s="154" customFormat="1" ht="23.25" customHeight="1">
      <c r="A10" s="150" t="s">
        <v>265</v>
      </c>
      <c r="B10" s="151">
        <f>SUM(B11)</f>
        <v>400000</v>
      </c>
    </row>
    <row r="11" spans="1:2" s="154" customFormat="1" ht="23.25" customHeight="1">
      <c r="A11" s="152" t="s">
        <v>267</v>
      </c>
      <c r="B11" s="153">
        <v>400000</v>
      </c>
    </row>
    <row r="12" spans="1:2" s="154" customFormat="1" ht="23.25" customHeight="1">
      <c r="A12" s="150" t="s">
        <v>314</v>
      </c>
      <c r="B12" s="151">
        <f>B13+B14</f>
        <v>2135000</v>
      </c>
    </row>
    <row r="13" spans="1:2" s="154" customFormat="1" ht="23.25" customHeight="1">
      <c r="A13" s="152" t="s">
        <v>313</v>
      </c>
      <c r="B13" s="153">
        <v>1500000</v>
      </c>
    </row>
    <row r="14" spans="1:2" s="154" customFormat="1" ht="23.25" customHeight="1" thickBot="1">
      <c r="A14" s="216" t="s">
        <v>316</v>
      </c>
      <c r="B14" s="217">
        <v>635000</v>
      </c>
    </row>
    <row r="15" spans="1:2" s="155" customFormat="1" ht="26.25" customHeight="1">
      <c r="A15" s="214" t="s">
        <v>243</v>
      </c>
      <c r="B15" s="215">
        <f>SUM(B8,B10,B12)</f>
        <v>3535000</v>
      </c>
    </row>
  </sheetData>
  <sheetProtection/>
  <mergeCells count="5">
    <mergeCell ref="A2:B2"/>
    <mergeCell ref="A3:B3"/>
    <mergeCell ref="A4:B4"/>
    <mergeCell ref="A6:A7"/>
    <mergeCell ref="A1:B1"/>
  </mergeCells>
  <printOptions gridLines="1" headings="1"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4.00390625" style="1" customWidth="1"/>
    <col min="2" max="2" width="5.140625" style="1" customWidth="1"/>
    <col min="3" max="3" width="6.421875" style="1" customWidth="1"/>
    <col min="4" max="4" width="2.57421875" style="1" customWidth="1"/>
    <col min="5" max="5" width="62.140625" style="1" customWidth="1"/>
    <col min="6" max="6" width="17.8515625" style="1" customWidth="1"/>
    <col min="7" max="7" width="16.7109375" style="192" customWidth="1"/>
    <col min="8" max="8" width="11.57421875" style="1" bestFit="1" customWidth="1"/>
    <col min="9" max="9" width="12.00390625" style="1" customWidth="1"/>
    <col min="10" max="10" width="9.140625" style="2" customWidth="1"/>
    <col min="11" max="16384" width="9.140625" style="1" customWidth="1"/>
  </cols>
  <sheetData>
    <row r="1" spans="1:6" ht="15.75">
      <c r="A1" s="240" t="s">
        <v>333</v>
      </c>
      <c r="B1" s="240"/>
      <c r="C1" s="240"/>
      <c r="D1" s="240"/>
      <c r="E1" s="240"/>
      <c r="F1" s="240"/>
    </row>
    <row r="2" spans="1:7" s="10" customFormat="1" ht="16.5" customHeight="1">
      <c r="A2" s="240"/>
      <c r="B2" s="240"/>
      <c r="C2" s="240"/>
      <c r="D2" s="240"/>
      <c r="E2" s="240"/>
      <c r="F2" s="226"/>
      <c r="G2" s="193"/>
    </row>
    <row r="3" spans="1:10" ht="24.75" customHeight="1">
      <c r="A3" s="234" t="s">
        <v>129</v>
      </c>
      <c r="B3" s="234"/>
      <c r="C3" s="234"/>
      <c r="D3" s="234"/>
      <c r="E3" s="234"/>
      <c r="H3" s="2"/>
      <c r="J3" s="1"/>
    </row>
    <row r="4" spans="1:10" ht="24.75" customHeight="1">
      <c r="A4" s="234" t="s">
        <v>293</v>
      </c>
      <c r="B4" s="234"/>
      <c r="C4" s="234"/>
      <c r="D4" s="234"/>
      <c r="E4" s="234"/>
      <c r="H4" s="2"/>
      <c r="J4" s="1"/>
    </row>
    <row r="5" spans="1:8" s="22" customFormat="1" ht="24" customHeight="1">
      <c r="A5" s="30"/>
      <c r="B5" s="30"/>
      <c r="C5" s="30"/>
      <c r="D5" s="30"/>
      <c r="E5" s="30"/>
      <c r="F5" s="166"/>
      <c r="G5" s="194"/>
      <c r="H5" s="29"/>
    </row>
    <row r="6" spans="1:10" ht="27.75" customHeight="1">
      <c r="A6" s="235" t="s">
        <v>130</v>
      </c>
      <c r="B6" s="235"/>
      <c r="C6" s="235"/>
      <c r="D6" s="235"/>
      <c r="E6" s="235"/>
      <c r="F6" s="103" t="s">
        <v>228</v>
      </c>
      <c r="H6" s="2"/>
      <c r="J6" s="1"/>
    </row>
    <row r="7" spans="1:7" s="34" customFormat="1" ht="24" customHeight="1">
      <c r="A7" s="235"/>
      <c r="B7" s="235"/>
      <c r="C7" s="235"/>
      <c r="D7" s="235"/>
      <c r="E7" s="235"/>
      <c r="F7" s="103" t="s">
        <v>268</v>
      </c>
      <c r="G7" s="195"/>
    </row>
    <row r="8" spans="1:7" s="75" customFormat="1" ht="25.5" customHeight="1">
      <c r="A8" s="272" t="s">
        <v>227</v>
      </c>
      <c r="B8" s="272"/>
      <c r="C8" s="272"/>
      <c r="D8" s="272"/>
      <c r="E8" s="273"/>
      <c r="F8" s="54">
        <f>SUM(F9,F12,F16)</f>
        <v>48502967</v>
      </c>
      <c r="G8" s="196"/>
    </row>
    <row r="9" spans="1:7" s="75" customFormat="1" ht="26.25" customHeight="1">
      <c r="A9" s="32" t="s">
        <v>106</v>
      </c>
      <c r="B9" s="34" t="s">
        <v>107</v>
      </c>
      <c r="C9" s="34"/>
      <c r="D9" s="170"/>
      <c r="E9" s="58"/>
      <c r="F9" s="70">
        <f>SUM(F10)</f>
        <v>0</v>
      </c>
      <c r="G9" s="196"/>
    </row>
    <row r="10" spans="1:10" s="34" customFormat="1" ht="15.75">
      <c r="A10" s="32"/>
      <c r="B10" s="6" t="s">
        <v>123</v>
      </c>
      <c r="C10" s="1" t="s">
        <v>263</v>
      </c>
      <c r="E10" s="52"/>
      <c r="F10" s="159">
        <v>0</v>
      </c>
      <c r="G10" s="197"/>
      <c r="H10" s="43"/>
      <c r="I10" s="43"/>
      <c r="J10" s="35"/>
    </row>
    <row r="11" spans="1:10" s="34" customFormat="1" ht="15.75">
      <c r="A11" s="32"/>
      <c r="B11" s="6" t="s">
        <v>123</v>
      </c>
      <c r="C11" s="1" t="s">
        <v>296</v>
      </c>
      <c r="E11" s="52"/>
      <c r="F11" s="96">
        <v>0</v>
      </c>
      <c r="G11" s="197"/>
      <c r="H11" s="43"/>
      <c r="I11" s="43"/>
      <c r="J11" s="35"/>
    </row>
    <row r="12" spans="1:11" ht="15.75">
      <c r="A12" s="34" t="s">
        <v>56</v>
      </c>
      <c r="B12" s="34" t="s">
        <v>57</v>
      </c>
      <c r="C12" s="34"/>
      <c r="D12" s="34"/>
      <c r="E12" s="52"/>
      <c r="F12" s="54">
        <f>SUM(F13:F14)</f>
        <v>24100100</v>
      </c>
      <c r="H12" s="38"/>
      <c r="I12" s="38"/>
      <c r="J12" s="38"/>
      <c r="K12" s="2"/>
    </row>
    <row r="13" spans="1:10" s="34" customFormat="1" ht="15.75">
      <c r="A13" s="1"/>
      <c r="B13" s="1"/>
      <c r="C13" s="1" t="s">
        <v>142</v>
      </c>
      <c r="D13" s="1" t="s">
        <v>143</v>
      </c>
      <c r="E13" s="55"/>
      <c r="F13" s="51">
        <v>24100000</v>
      </c>
      <c r="G13" s="197"/>
      <c r="H13" s="43"/>
      <c r="I13" s="43"/>
      <c r="J13" s="35"/>
    </row>
    <row r="14" spans="3:9" ht="15.75">
      <c r="C14" s="1" t="s">
        <v>58</v>
      </c>
      <c r="D14" s="1" t="s">
        <v>9</v>
      </c>
      <c r="E14" s="55"/>
      <c r="F14" s="51">
        <v>100</v>
      </c>
      <c r="G14" s="198"/>
      <c r="H14" s="38"/>
      <c r="I14" s="38"/>
    </row>
    <row r="15" spans="3:9" ht="30" customHeight="1">
      <c r="C15" s="1" t="s">
        <v>297</v>
      </c>
      <c r="D15" s="1" t="s">
        <v>298</v>
      </c>
      <c r="E15" s="55"/>
      <c r="F15" s="51">
        <v>200000</v>
      </c>
      <c r="G15" s="199"/>
      <c r="H15" s="38"/>
      <c r="I15" s="38"/>
    </row>
    <row r="16" spans="1:9" ht="15.75">
      <c r="A16" s="34" t="s">
        <v>79</v>
      </c>
      <c r="B16" s="34" t="s">
        <v>80</v>
      </c>
      <c r="C16" s="34"/>
      <c r="D16" s="34"/>
      <c r="E16" s="52"/>
      <c r="F16" s="54">
        <f>SUM(F17)</f>
        <v>24402867</v>
      </c>
      <c r="G16" s="199"/>
      <c r="H16" s="38"/>
      <c r="I16" s="38"/>
    </row>
    <row r="17" spans="2:9" ht="15.75">
      <c r="B17" s="1" t="s">
        <v>81</v>
      </c>
      <c r="D17" s="1" t="s">
        <v>82</v>
      </c>
      <c r="E17" s="55"/>
      <c r="F17" s="62">
        <f>SUM(F20+F18)</f>
        <v>24402867</v>
      </c>
      <c r="G17" s="198"/>
      <c r="H17" s="38"/>
      <c r="I17" s="38"/>
    </row>
    <row r="18" spans="3:9" ht="15.75">
      <c r="C18" s="1" t="s">
        <v>83</v>
      </c>
      <c r="D18" s="1" t="s">
        <v>84</v>
      </c>
      <c r="E18" s="55"/>
      <c r="F18" s="51">
        <f>F19</f>
        <v>712063</v>
      </c>
      <c r="G18" s="198"/>
      <c r="H18" s="38"/>
      <c r="I18" s="38"/>
    </row>
    <row r="19" spans="1:7" s="75" customFormat="1" ht="26.25" customHeight="1">
      <c r="A19" s="1"/>
      <c r="B19" s="1"/>
      <c r="C19" s="1" t="s">
        <v>85</v>
      </c>
      <c r="D19" s="1"/>
      <c r="E19" s="55" t="s">
        <v>86</v>
      </c>
      <c r="F19" s="51">
        <v>712063</v>
      </c>
      <c r="G19" s="196"/>
    </row>
    <row r="20" spans="1:7" s="34" customFormat="1" ht="15.75">
      <c r="A20" s="1"/>
      <c r="B20" s="1"/>
      <c r="C20" s="1" t="s">
        <v>59</v>
      </c>
      <c r="D20" s="1" t="s">
        <v>144</v>
      </c>
      <c r="E20" s="55"/>
      <c r="F20" s="233">
        <f>20327000+3363804</f>
        <v>23690804</v>
      </c>
      <c r="G20" s="200"/>
    </row>
    <row r="21" spans="1:10" ht="15.75">
      <c r="A21" s="270" t="s">
        <v>272</v>
      </c>
      <c r="B21" s="270"/>
      <c r="C21" s="270"/>
      <c r="D21" s="270"/>
      <c r="E21" s="271"/>
      <c r="F21" s="70">
        <v>1036000</v>
      </c>
      <c r="G21" s="201"/>
      <c r="J21" s="1"/>
    </row>
    <row r="22" spans="1:10" s="34" customFormat="1" ht="30.75" customHeight="1">
      <c r="A22" s="32" t="s">
        <v>106</v>
      </c>
      <c r="B22" s="34" t="s">
        <v>107</v>
      </c>
      <c r="D22" s="170"/>
      <c r="E22" s="58"/>
      <c r="F22" s="70">
        <f>SUM(F23)</f>
        <v>1036000</v>
      </c>
      <c r="G22" s="195"/>
      <c r="J22" s="35"/>
    </row>
    <row r="23" spans="1:6" ht="15.75">
      <c r="A23" s="32"/>
      <c r="B23" s="6" t="s">
        <v>123</v>
      </c>
      <c r="C23" s="1" t="s">
        <v>263</v>
      </c>
      <c r="D23" s="34"/>
      <c r="E23" s="52"/>
      <c r="F23" s="71">
        <v>1036000</v>
      </c>
    </row>
    <row r="24" spans="1:6" ht="15.75">
      <c r="A24" s="88" t="s">
        <v>125</v>
      </c>
      <c r="B24" s="88"/>
      <c r="C24" s="88"/>
      <c r="D24" s="88"/>
      <c r="E24" s="89"/>
      <c r="F24" s="134">
        <f>SUM(F8+F21)</f>
        <v>49538967</v>
      </c>
    </row>
    <row r="26" spans="5:6" ht="15.75">
      <c r="E26" s="20" t="s">
        <v>106</v>
      </c>
      <c r="F26" s="220">
        <f>F9+F22</f>
        <v>1036000</v>
      </c>
    </row>
    <row r="27" spans="5:6" ht="15.75">
      <c r="E27" s="20" t="s">
        <v>56</v>
      </c>
      <c r="F27" s="221">
        <f>F12</f>
        <v>24100100</v>
      </c>
    </row>
    <row r="28" spans="5:6" ht="15.75">
      <c r="E28" s="20" t="s">
        <v>79</v>
      </c>
      <c r="F28" s="221">
        <f>F16</f>
        <v>24402867</v>
      </c>
    </row>
    <row r="29" spans="5:6" ht="15.75">
      <c r="E29" s="20"/>
      <c r="F29" s="222">
        <f>SUM(F26:F28)</f>
        <v>49538967</v>
      </c>
    </row>
    <row r="30" ht="15.75">
      <c r="E30" s="20"/>
    </row>
    <row r="31" ht="15.75">
      <c r="E31" s="20"/>
    </row>
  </sheetData>
  <sheetProtection/>
  <mergeCells count="7">
    <mergeCell ref="A21:E21"/>
    <mergeCell ref="A4:E4"/>
    <mergeCell ref="A6:E7"/>
    <mergeCell ref="A2:E2"/>
    <mergeCell ref="A3:E3"/>
    <mergeCell ref="A8:E8"/>
    <mergeCell ref="A1:F1"/>
  </mergeCells>
  <printOptions gridLines="1" headings="1"/>
  <pageMargins left="0.75" right="0.75" top="1" bottom="1" header="0.5" footer="0.5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4.28125" style="4" customWidth="1"/>
    <col min="2" max="2" width="5.421875" style="4" customWidth="1"/>
    <col min="3" max="3" width="8.140625" style="4" customWidth="1"/>
    <col min="4" max="4" width="3.28125" style="4" customWidth="1"/>
    <col min="5" max="5" width="52.421875" style="4" customWidth="1"/>
    <col min="6" max="6" width="9.57421875" style="4" customWidth="1"/>
    <col min="7" max="7" width="16.57421875" style="10" customWidth="1"/>
    <col min="8" max="8" width="13.7109375" style="4" bestFit="1" customWidth="1"/>
    <col min="9" max="10" width="11.8515625" style="4" bestFit="1" customWidth="1"/>
    <col min="11" max="16384" width="9.140625" style="4" customWidth="1"/>
  </cols>
  <sheetData>
    <row r="1" spans="1:7" ht="15.75">
      <c r="A1" s="240" t="s">
        <v>334</v>
      </c>
      <c r="B1" s="240"/>
      <c r="C1" s="240"/>
      <c r="D1" s="240"/>
      <c r="E1" s="240"/>
      <c r="F1" s="240"/>
      <c r="G1" s="240"/>
    </row>
    <row r="2" spans="1:6" s="10" customFormat="1" ht="16.5" customHeight="1">
      <c r="A2" s="240"/>
      <c r="B2" s="240"/>
      <c r="C2" s="240"/>
      <c r="D2" s="240"/>
      <c r="E2" s="240"/>
      <c r="F2" s="240"/>
    </row>
    <row r="3" spans="1:6" s="174" customFormat="1" ht="26.25" customHeight="1">
      <c r="A3" s="274" t="s">
        <v>129</v>
      </c>
      <c r="B3" s="274"/>
      <c r="C3" s="274"/>
      <c r="D3" s="274"/>
      <c r="E3" s="274"/>
      <c r="F3" s="274"/>
    </row>
    <row r="4" spans="1:6" s="75" customFormat="1" ht="27.75" customHeight="1">
      <c r="A4" s="275" t="s">
        <v>289</v>
      </c>
      <c r="B4" s="275"/>
      <c r="C4" s="275"/>
      <c r="D4" s="275"/>
      <c r="E4" s="275"/>
      <c r="F4" s="275"/>
    </row>
    <row r="5" spans="1:7" s="75" customFormat="1" ht="39" customHeight="1">
      <c r="A5" s="280" t="s">
        <v>130</v>
      </c>
      <c r="B5" s="280"/>
      <c r="C5" s="280"/>
      <c r="D5" s="280"/>
      <c r="E5" s="280"/>
      <c r="F5" s="278" t="s">
        <v>131</v>
      </c>
      <c r="G5" s="86" t="s">
        <v>228</v>
      </c>
    </row>
    <row r="6" spans="1:7" s="75" customFormat="1" ht="33.75" customHeight="1">
      <c r="A6" s="280"/>
      <c r="B6" s="280"/>
      <c r="C6" s="280"/>
      <c r="D6" s="280"/>
      <c r="E6" s="280"/>
      <c r="F6" s="279"/>
      <c r="G6" s="86" t="s">
        <v>268</v>
      </c>
    </row>
    <row r="7" spans="1:7" s="75" customFormat="1" ht="26.25" customHeight="1">
      <c r="A7" s="276" t="s">
        <v>227</v>
      </c>
      <c r="B7" s="276"/>
      <c r="C7" s="276"/>
      <c r="D7" s="276"/>
      <c r="E7" s="277"/>
      <c r="F7" s="79">
        <v>8</v>
      </c>
      <c r="G7" s="87">
        <f>SUM(G8+G16+G18+G36)</f>
        <v>48463966.78</v>
      </c>
    </row>
    <row r="8" spans="1:10" s="34" customFormat="1" ht="15.75">
      <c r="A8" s="34" t="s">
        <v>11</v>
      </c>
      <c r="B8" s="32" t="s">
        <v>3</v>
      </c>
      <c r="C8" s="32"/>
      <c r="D8" s="32"/>
      <c r="E8" s="61"/>
      <c r="F8" s="61"/>
      <c r="G8" s="77">
        <f>SUM(G9)</f>
        <v>25024804</v>
      </c>
      <c r="I8" s="33"/>
      <c r="J8" s="33"/>
    </row>
    <row r="9" spans="2:7" s="1" customFormat="1" ht="15.75">
      <c r="B9" s="6" t="s">
        <v>12</v>
      </c>
      <c r="C9" s="6"/>
      <c r="D9" s="6" t="s">
        <v>13</v>
      </c>
      <c r="E9" s="50"/>
      <c r="F9" s="50"/>
      <c r="G9" s="76">
        <f>SUM(G10:G15)</f>
        <v>25024804</v>
      </c>
    </row>
    <row r="10" spans="2:7" s="1" customFormat="1" ht="15.75">
      <c r="B10" s="6"/>
      <c r="C10" s="6" t="s">
        <v>14</v>
      </c>
      <c r="D10" s="6" t="s">
        <v>15</v>
      </c>
      <c r="E10" s="50"/>
      <c r="F10" s="50"/>
      <c r="G10" s="51">
        <f>16461000+12*50000+12*192000</f>
        <v>19365000</v>
      </c>
    </row>
    <row r="11" spans="2:7" s="1" customFormat="1" ht="15.75">
      <c r="B11" s="6"/>
      <c r="C11" s="6" t="s">
        <v>280</v>
      </c>
      <c r="D11" s="6" t="s">
        <v>279</v>
      </c>
      <c r="E11" s="50"/>
      <c r="F11" s="50"/>
      <c r="G11" s="51">
        <v>0</v>
      </c>
    </row>
    <row r="12" spans="2:7" s="1" customFormat="1" ht="15.75">
      <c r="B12" s="6"/>
      <c r="C12" s="6" t="s">
        <v>295</v>
      </c>
      <c r="D12" s="6" t="s">
        <v>294</v>
      </c>
      <c r="E12" s="50"/>
      <c r="F12" s="50"/>
      <c r="G12" s="211">
        <f>390000+975000</f>
        <v>1365000</v>
      </c>
    </row>
    <row r="13" spans="2:7" s="1" customFormat="1" ht="15.75">
      <c r="B13" s="6"/>
      <c r="C13" s="6" t="s">
        <v>196</v>
      </c>
      <c r="D13" s="6" t="s">
        <v>197</v>
      </c>
      <c r="E13" s="50"/>
      <c r="F13" s="50"/>
      <c r="G13" s="210">
        <v>613000</v>
      </c>
    </row>
    <row r="14" spans="2:7" s="1" customFormat="1" ht="15.75">
      <c r="B14" s="6"/>
      <c r="C14" s="6" t="s">
        <v>198</v>
      </c>
      <c r="D14" s="6" t="s">
        <v>199</v>
      </c>
      <c r="E14" s="50"/>
      <c r="F14" s="50"/>
      <c r="G14" s="51">
        <v>318000</v>
      </c>
    </row>
    <row r="15" spans="2:7" s="1" customFormat="1" ht="15.75">
      <c r="B15" s="6"/>
      <c r="C15" s="6" t="s">
        <v>195</v>
      </c>
      <c r="D15" s="6" t="s">
        <v>193</v>
      </c>
      <c r="E15" s="50"/>
      <c r="F15" s="50"/>
      <c r="G15" s="51">
        <f>244691*12+35626*12</f>
        <v>3363804</v>
      </c>
    </row>
    <row r="16" spans="1:7" s="34" customFormat="1" ht="15.75" customHeight="1">
      <c r="A16" s="34" t="s">
        <v>19</v>
      </c>
      <c r="B16" s="34" t="s">
        <v>20</v>
      </c>
      <c r="E16" s="52"/>
      <c r="F16" s="53"/>
      <c r="G16" s="212">
        <f>SUM(G17)</f>
        <v>4879836.78</v>
      </c>
    </row>
    <row r="17" spans="2:7" s="1" customFormat="1" ht="15.75">
      <c r="B17" s="6"/>
      <c r="C17" s="6"/>
      <c r="D17" s="6" t="s">
        <v>8</v>
      </c>
      <c r="E17" s="50"/>
      <c r="F17" s="50"/>
      <c r="G17" s="51">
        <f>G9*0.195</f>
        <v>4879836.78</v>
      </c>
    </row>
    <row r="18" spans="1:7" s="34" customFormat="1" ht="15.75">
      <c r="A18" s="34" t="s">
        <v>21</v>
      </c>
      <c r="B18" s="34" t="s">
        <v>22</v>
      </c>
      <c r="E18" s="52"/>
      <c r="F18" s="61"/>
      <c r="G18" s="229">
        <f>SUM(G19+G22+G24+G33+G30)</f>
        <v>18432326</v>
      </c>
    </row>
    <row r="19" spans="2:7" s="1" customFormat="1" ht="15.75">
      <c r="B19" s="1" t="s">
        <v>23</v>
      </c>
      <c r="C19" s="6"/>
      <c r="D19" s="6" t="s">
        <v>1</v>
      </c>
      <c r="E19" s="55"/>
      <c r="F19" s="55"/>
      <c r="G19" s="76">
        <f>SUM(G20+G21)</f>
        <v>3639326</v>
      </c>
    </row>
    <row r="20" spans="3:7" s="1" customFormat="1" ht="15.75">
      <c r="C20" s="6" t="s">
        <v>24</v>
      </c>
      <c r="D20" s="6" t="s">
        <v>25</v>
      </c>
      <c r="E20" s="55"/>
      <c r="F20" s="55"/>
      <c r="G20" s="81">
        <v>819000</v>
      </c>
    </row>
    <row r="21" spans="3:7" s="1" customFormat="1" ht="15.75">
      <c r="C21" s="6" t="s">
        <v>26</v>
      </c>
      <c r="D21" s="6" t="s">
        <v>27</v>
      </c>
      <c r="E21" s="50"/>
      <c r="F21" s="50"/>
      <c r="G21" s="81">
        <v>2820326</v>
      </c>
    </row>
    <row r="22" spans="2:7" s="20" customFormat="1" ht="15.75">
      <c r="B22" s="1" t="s">
        <v>28</v>
      </c>
      <c r="D22" s="6" t="s">
        <v>29</v>
      </c>
      <c r="E22" s="91"/>
      <c r="F22" s="91"/>
      <c r="G22" s="76">
        <f>G23</f>
        <v>58000</v>
      </c>
    </row>
    <row r="23" spans="3:7" s="1" customFormat="1" ht="15.75">
      <c r="C23" s="6" t="s">
        <v>32</v>
      </c>
      <c r="D23" s="6" t="s">
        <v>33</v>
      </c>
      <c r="E23" s="50"/>
      <c r="F23" s="50"/>
      <c r="G23" s="81">
        <v>58000</v>
      </c>
    </row>
    <row r="24" spans="2:7" s="1" customFormat="1" ht="15.75">
      <c r="B24" s="1" t="s">
        <v>34</v>
      </c>
      <c r="C24" s="6"/>
      <c r="D24" s="6" t="s">
        <v>35</v>
      </c>
      <c r="E24" s="50"/>
      <c r="F24" s="50"/>
      <c r="G24" s="62">
        <f>SUM(G25+G26+G27+G28)</f>
        <v>11493000</v>
      </c>
    </row>
    <row r="25" spans="3:7" s="1" customFormat="1" ht="15.75">
      <c r="C25" s="6" t="s">
        <v>36</v>
      </c>
      <c r="D25" s="6" t="s">
        <v>37</v>
      </c>
      <c r="E25" s="50"/>
      <c r="F25" s="50"/>
      <c r="G25" s="81">
        <v>2283000</v>
      </c>
    </row>
    <row r="26" spans="3:7" s="1" customFormat="1" ht="15.75">
      <c r="C26" s="6" t="s">
        <v>139</v>
      </c>
      <c r="D26" s="6" t="s">
        <v>132</v>
      </c>
      <c r="E26" s="50"/>
      <c r="F26" s="50"/>
      <c r="G26" s="51">
        <v>6500000</v>
      </c>
    </row>
    <row r="27" spans="3:8" s="1" customFormat="1" ht="15.75">
      <c r="C27" s="6" t="s">
        <v>39</v>
      </c>
      <c r="D27" s="6" t="s">
        <v>2</v>
      </c>
      <c r="E27" s="50"/>
      <c r="F27" s="50"/>
      <c r="G27" s="51">
        <v>800000</v>
      </c>
      <c r="H27" s="175"/>
    </row>
    <row r="28" spans="3:7" s="1" customFormat="1" ht="15.75">
      <c r="C28" s="6" t="s">
        <v>40</v>
      </c>
      <c r="D28" s="6" t="s">
        <v>41</v>
      </c>
      <c r="E28" s="50"/>
      <c r="F28" s="50"/>
      <c r="G28" s="81">
        <v>1910000</v>
      </c>
    </row>
    <row r="29" spans="3:7" s="1" customFormat="1" ht="15.75">
      <c r="C29" s="6"/>
      <c r="D29" s="6"/>
      <c r="E29" s="50" t="s">
        <v>202</v>
      </c>
      <c r="F29" s="50"/>
      <c r="G29" s="51">
        <v>12500</v>
      </c>
    </row>
    <row r="30" spans="2:7" s="1" customFormat="1" ht="15.75">
      <c r="B30" s="1" t="s">
        <v>135</v>
      </c>
      <c r="C30" s="6"/>
      <c r="D30" s="6" t="s">
        <v>136</v>
      </c>
      <c r="E30" s="50"/>
      <c r="F30" s="50"/>
      <c r="G30" s="82">
        <f>SUM(G31)</f>
        <v>72000</v>
      </c>
    </row>
    <row r="31" spans="3:7" s="1" customFormat="1" ht="15.75">
      <c r="C31" s="6" t="s">
        <v>137</v>
      </c>
      <c r="D31" s="6" t="s">
        <v>138</v>
      </c>
      <c r="E31" s="50"/>
      <c r="F31" s="50"/>
      <c r="G31" s="81">
        <v>72000</v>
      </c>
    </row>
    <row r="32" spans="3:7" s="1" customFormat="1" ht="15.75">
      <c r="C32" s="6"/>
      <c r="D32" s="6"/>
      <c r="E32" s="50" t="s">
        <v>133</v>
      </c>
      <c r="F32" s="50"/>
      <c r="G32" s="51">
        <v>72000</v>
      </c>
    </row>
    <row r="33" spans="2:7" s="1" customFormat="1" ht="15.75">
      <c r="B33" s="1" t="s">
        <v>42</v>
      </c>
      <c r="C33" s="6"/>
      <c r="D33" s="6" t="s">
        <v>43</v>
      </c>
      <c r="E33" s="6"/>
      <c r="F33" s="176"/>
      <c r="G33" s="62">
        <f>SUM(G34)</f>
        <v>3170000</v>
      </c>
    </row>
    <row r="34" spans="3:7" s="1" customFormat="1" ht="15.75">
      <c r="C34" s="6" t="s">
        <v>44</v>
      </c>
      <c r="D34" s="6" t="s">
        <v>45</v>
      </c>
      <c r="E34" s="6"/>
      <c r="F34" s="176"/>
      <c r="G34" s="56">
        <v>3170000</v>
      </c>
    </row>
    <row r="35" spans="3:7" s="1" customFormat="1" ht="15.75">
      <c r="C35" s="6" t="s">
        <v>238</v>
      </c>
      <c r="D35" s="6" t="s">
        <v>239</v>
      </c>
      <c r="E35" s="6"/>
      <c r="F35" s="176"/>
      <c r="G35" s="31">
        <v>1000</v>
      </c>
    </row>
    <row r="36" spans="1:8" s="34" customFormat="1" ht="15.75">
      <c r="A36" s="34" t="s">
        <v>160</v>
      </c>
      <c r="B36" s="34" t="s">
        <v>161</v>
      </c>
      <c r="F36" s="177"/>
      <c r="G36" s="70">
        <f>SUM(G37:G38)</f>
        <v>127000</v>
      </c>
      <c r="H36" s="160"/>
    </row>
    <row r="37" spans="2:8" s="34" customFormat="1" ht="15.75">
      <c r="B37" s="6" t="s">
        <v>269</v>
      </c>
      <c r="D37" s="6" t="s">
        <v>270</v>
      </c>
      <c r="F37" s="177"/>
      <c r="G37" s="71">
        <v>100000</v>
      </c>
      <c r="H37" s="162"/>
    </row>
    <row r="38" spans="2:8" s="34" customFormat="1" ht="15.75">
      <c r="B38" s="6" t="s">
        <v>242</v>
      </c>
      <c r="D38" s="6" t="s">
        <v>271</v>
      </c>
      <c r="F38" s="178"/>
      <c r="G38" s="71">
        <f>G37*0.27</f>
        <v>27000</v>
      </c>
      <c r="H38" s="162"/>
    </row>
    <row r="39" spans="1:7" s="75" customFormat="1" ht="26.25" customHeight="1">
      <c r="A39" s="270" t="s">
        <v>272</v>
      </c>
      <c r="B39" s="270"/>
      <c r="C39" s="270"/>
      <c r="D39" s="270"/>
      <c r="E39" s="271"/>
      <c r="F39" s="168">
        <v>1</v>
      </c>
      <c r="G39" s="169">
        <f>SUM(G40+G45)</f>
        <v>1075000</v>
      </c>
    </row>
    <row r="40" spans="1:10" s="34" customFormat="1" ht="15.75">
      <c r="A40" s="34" t="s">
        <v>11</v>
      </c>
      <c r="B40" s="32" t="s">
        <v>3</v>
      </c>
      <c r="C40" s="32"/>
      <c r="D40" s="32"/>
      <c r="E40" s="61"/>
      <c r="F40" s="61"/>
      <c r="G40" s="77">
        <f>SUM(G41)</f>
        <v>979000</v>
      </c>
      <c r="I40" s="33"/>
      <c r="J40" s="33"/>
    </row>
    <row r="41" spans="2:7" s="1" customFormat="1" ht="15.75">
      <c r="B41" s="6" t="s">
        <v>12</v>
      </c>
      <c r="C41" s="6"/>
      <c r="D41" s="6" t="s">
        <v>13</v>
      </c>
      <c r="E41" s="50"/>
      <c r="F41" s="50"/>
      <c r="G41" s="76">
        <f>SUM(G42:G44)</f>
        <v>979000</v>
      </c>
    </row>
    <row r="42" spans="2:7" s="1" customFormat="1" ht="15.75">
      <c r="B42" s="6"/>
      <c r="C42" s="6" t="s">
        <v>14</v>
      </c>
      <c r="D42" s="6" t="s">
        <v>15</v>
      </c>
      <c r="E42" s="50"/>
      <c r="F42" s="50"/>
      <c r="G42" s="51">
        <v>979000</v>
      </c>
    </row>
    <row r="43" spans="2:7" s="1" customFormat="1" ht="15.75">
      <c r="B43" s="6"/>
      <c r="C43" s="6" t="s">
        <v>280</v>
      </c>
      <c r="D43" s="6" t="s">
        <v>284</v>
      </c>
      <c r="E43" s="50"/>
      <c r="F43" s="50"/>
      <c r="G43" s="51">
        <v>0</v>
      </c>
    </row>
    <row r="44" spans="2:7" s="1" customFormat="1" ht="15.75">
      <c r="B44" s="6"/>
      <c r="C44" s="6" t="s">
        <v>195</v>
      </c>
      <c r="D44" s="6" t="s">
        <v>193</v>
      </c>
      <c r="E44" s="50"/>
      <c r="F44" s="50"/>
      <c r="G44" s="51">
        <v>0</v>
      </c>
    </row>
    <row r="45" spans="1:7" s="34" customFormat="1" ht="15.75" customHeight="1">
      <c r="A45" s="34" t="s">
        <v>19</v>
      </c>
      <c r="B45" s="34" t="s">
        <v>20</v>
      </c>
      <c r="E45" s="52"/>
      <c r="F45" s="53"/>
      <c r="G45" s="77">
        <f>SUM(G46)</f>
        <v>96000</v>
      </c>
    </row>
    <row r="46" spans="2:7" s="1" customFormat="1" ht="15.75">
      <c r="B46" s="6"/>
      <c r="C46" s="6"/>
      <c r="D46" s="6" t="s">
        <v>8</v>
      </c>
      <c r="E46" s="50"/>
      <c r="F46" s="50"/>
      <c r="G46" s="51">
        <v>96000</v>
      </c>
    </row>
    <row r="47" spans="1:7" s="75" customFormat="1" ht="24.75" customHeight="1">
      <c r="A47" s="83" t="s">
        <v>128</v>
      </c>
      <c r="B47" s="83"/>
      <c r="C47" s="83"/>
      <c r="D47" s="83"/>
      <c r="E47" s="84"/>
      <c r="F47" s="84"/>
      <c r="G47" s="85">
        <f>SUM(G7,G39)</f>
        <v>49538966.78</v>
      </c>
    </row>
    <row r="48" spans="1:7" s="75" customFormat="1" ht="21.75" customHeight="1">
      <c r="A48" s="75" t="s">
        <v>134</v>
      </c>
      <c r="E48" s="78"/>
      <c r="F48" s="79">
        <f>SUM(F7,F39)</f>
        <v>9</v>
      </c>
      <c r="G48" s="80"/>
    </row>
    <row r="49" spans="6:7" s="75" customFormat="1" ht="16.5" customHeight="1">
      <c r="F49" s="204" t="s">
        <v>11</v>
      </c>
      <c r="G49" s="203">
        <f>G8+G40</f>
        <v>26003804</v>
      </c>
    </row>
    <row r="50" spans="6:7" s="75" customFormat="1" ht="18" customHeight="1">
      <c r="F50" s="202" t="s">
        <v>19</v>
      </c>
      <c r="G50" s="80">
        <f>G16+G45</f>
        <v>4975836.78</v>
      </c>
    </row>
    <row r="51" spans="6:7" s="75" customFormat="1" ht="16.5" customHeight="1">
      <c r="F51" s="202" t="s">
        <v>21</v>
      </c>
      <c r="G51" s="80">
        <f>G18</f>
        <v>18432326</v>
      </c>
    </row>
    <row r="52" spans="6:7" s="174" customFormat="1" ht="15.75">
      <c r="F52" s="208" t="s">
        <v>160</v>
      </c>
      <c r="G52" s="209">
        <f>G36</f>
        <v>127000</v>
      </c>
    </row>
    <row r="53" spans="6:7" s="174" customFormat="1" ht="15.75">
      <c r="F53" s="205"/>
      <c r="G53" s="207">
        <f>SUM(G49:G52)</f>
        <v>49538966.78</v>
      </c>
    </row>
    <row r="54" spans="6:7" s="174" customFormat="1" ht="15.75">
      <c r="F54" s="167"/>
      <c r="G54" s="206"/>
    </row>
    <row r="55" spans="6:7" ht="15.75">
      <c r="F55" s="206"/>
      <c r="G55" s="189"/>
    </row>
    <row r="56" ht="15.75">
      <c r="G56" s="189"/>
    </row>
    <row r="57" ht="15.75">
      <c r="G57" s="189"/>
    </row>
  </sheetData>
  <sheetProtection/>
  <mergeCells count="8">
    <mergeCell ref="A39:E39"/>
    <mergeCell ref="A2:F2"/>
    <mergeCell ref="A3:F3"/>
    <mergeCell ref="A4:F4"/>
    <mergeCell ref="A7:E7"/>
    <mergeCell ref="F5:F6"/>
    <mergeCell ref="A5:E6"/>
    <mergeCell ref="A1:G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="130" zoomScaleNormal="130" workbookViewId="0" topLeftCell="A1">
      <selection activeCell="A1" sqref="A1:C1"/>
    </sheetView>
  </sheetViews>
  <sheetFormatPr defaultColWidth="9.140625" defaultRowHeight="12.75"/>
  <cols>
    <col min="1" max="1" width="54.140625" style="21" customWidth="1"/>
    <col min="2" max="3" width="18.00390625" style="21" customWidth="1"/>
    <col min="4" max="16384" width="9.140625" style="21" customWidth="1"/>
  </cols>
  <sheetData>
    <row r="1" spans="1:3" ht="15.75">
      <c r="A1" s="267" t="s">
        <v>335</v>
      </c>
      <c r="B1" s="267"/>
      <c r="C1" s="267"/>
    </row>
    <row r="2" spans="1:2" ht="15.75">
      <c r="A2" s="267"/>
      <c r="B2" s="267"/>
    </row>
    <row r="3" spans="1:2" s="147" customFormat="1" ht="21" customHeight="1">
      <c r="A3" s="268" t="s">
        <v>129</v>
      </c>
      <c r="B3" s="268"/>
    </row>
    <row r="4" spans="1:2" s="147" customFormat="1" ht="23.25" customHeight="1">
      <c r="A4" s="268" t="s">
        <v>312</v>
      </c>
      <c r="B4" s="268"/>
    </row>
    <row r="5" spans="1:3" s="147" customFormat="1" ht="23.25" customHeight="1">
      <c r="A5" s="146"/>
      <c r="B5" s="146"/>
      <c r="C5" s="146"/>
    </row>
    <row r="6" spans="1:3" s="147" customFormat="1" ht="15.75" customHeight="1">
      <c r="A6" s="269" t="s">
        <v>174</v>
      </c>
      <c r="B6" s="148" t="s">
        <v>228</v>
      </c>
      <c r="C6" s="148" t="s">
        <v>228</v>
      </c>
    </row>
    <row r="7" spans="1:3" s="147" customFormat="1" ht="39" customHeight="1">
      <c r="A7" s="269"/>
      <c r="B7" s="149" t="s">
        <v>229</v>
      </c>
      <c r="C7" s="149" t="s">
        <v>268</v>
      </c>
    </row>
    <row r="8" spans="1:3" s="147" customFormat="1" ht="23.25" customHeight="1">
      <c r="A8" s="150" t="s">
        <v>277</v>
      </c>
      <c r="B8" s="151">
        <f>SUM(B9:B9)</f>
        <v>0</v>
      </c>
      <c r="C8" s="151">
        <f>SUM(C9:C9)</f>
        <v>127000</v>
      </c>
    </row>
    <row r="9" spans="1:3" s="154" customFormat="1" ht="23.25" customHeight="1">
      <c r="A9" s="152" t="s">
        <v>315</v>
      </c>
      <c r="B9" s="153"/>
      <c r="C9" s="153">
        <v>127000</v>
      </c>
    </row>
    <row r="10" spans="1:3" s="155" customFormat="1" ht="26.25" customHeight="1">
      <c r="A10" s="164" t="s">
        <v>243</v>
      </c>
      <c r="B10" s="165">
        <f>SUM(B8)</f>
        <v>0</v>
      </c>
      <c r="C10" s="165">
        <f>SUM(C8)</f>
        <v>127000</v>
      </c>
    </row>
  </sheetData>
  <sheetProtection/>
  <mergeCells count="5">
    <mergeCell ref="A2:B2"/>
    <mergeCell ref="A3:B3"/>
    <mergeCell ref="A4:B4"/>
    <mergeCell ref="A6:A7"/>
    <mergeCell ref="A1:C1"/>
  </mergeCells>
  <printOptions gridLines="1" headings="1"/>
  <pageMargins left="0.75" right="0.75" top="1" bottom="1" header="0.5" footer="0.5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zoomScaleSheetLayoutView="100" workbookViewId="0" topLeftCell="A1">
      <selection activeCell="E6" sqref="E6"/>
    </sheetView>
  </sheetViews>
  <sheetFormatPr defaultColWidth="9.140625" defaultRowHeight="12.75"/>
  <cols>
    <col min="1" max="1" width="4.00390625" style="1" customWidth="1"/>
    <col min="2" max="2" width="4.421875" style="1" customWidth="1"/>
    <col min="3" max="3" width="6.421875" style="1" customWidth="1"/>
    <col min="4" max="4" width="2.57421875" style="1" customWidth="1"/>
    <col min="5" max="5" width="68.7109375" style="1" customWidth="1"/>
    <col min="6" max="6" width="16.7109375" style="3" customWidth="1"/>
    <col min="7" max="7" width="38.00390625" style="1" customWidth="1"/>
    <col min="8" max="16384" width="9.140625" style="1" customWidth="1"/>
  </cols>
  <sheetData>
    <row r="1" spans="1:6" ht="15.75">
      <c r="A1" s="240" t="s">
        <v>324</v>
      </c>
      <c r="B1" s="240"/>
      <c r="C1" s="240"/>
      <c r="D1" s="240"/>
      <c r="E1" s="240"/>
      <c r="F1" s="240"/>
    </row>
    <row r="2" spans="1:6" s="10" customFormat="1" ht="16.5" customHeight="1">
      <c r="A2" s="240"/>
      <c r="B2" s="240"/>
      <c r="C2" s="240"/>
      <c r="D2" s="240"/>
      <c r="E2" s="240"/>
      <c r="F2" s="226"/>
    </row>
    <row r="3" spans="1:7" ht="22.5" customHeight="1">
      <c r="A3" s="234" t="s">
        <v>60</v>
      </c>
      <c r="B3" s="234"/>
      <c r="C3" s="234"/>
      <c r="D3" s="234"/>
      <c r="E3" s="234"/>
      <c r="F3" s="1"/>
      <c r="G3" s="2"/>
    </row>
    <row r="4" spans="1:7" ht="18" customHeight="1">
      <c r="A4" s="234" t="s">
        <v>286</v>
      </c>
      <c r="B4" s="234"/>
      <c r="C4" s="234"/>
      <c r="D4" s="234"/>
      <c r="E4" s="234"/>
      <c r="F4" s="1"/>
      <c r="G4" s="2"/>
    </row>
    <row r="5" spans="1:7" ht="15.75">
      <c r="A5" s="239"/>
      <c r="B5" s="239"/>
      <c r="C5" s="239"/>
      <c r="D5" s="239"/>
      <c r="E5" s="239"/>
      <c r="F5" s="1"/>
      <c r="G5" s="2"/>
    </row>
    <row r="6" spans="5:7" s="24" customFormat="1" ht="15.75">
      <c r="E6" s="26"/>
      <c r="F6" s="36"/>
      <c r="G6" s="25"/>
    </row>
    <row r="7" spans="1:7" ht="32.25" customHeight="1">
      <c r="A7" s="235" t="s">
        <v>130</v>
      </c>
      <c r="B7" s="235"/>
      <c r="C7" s="235"/>
      <c r="D7" s="235"/>
      <c r="E7" s="235"/>
      <c r="F7" s="100" t="s">
        <v>228</v>
      </c>
      <c r="G7" s="2"/>
    </row>
    <row r="8" spans="1:6" s="34" customFormat="1" ht="22.5" customHeight="1">
      <c r="A8" s="235"/>
      <c r="B8" s="235"/>
      <c r="C8" s="235"/>
      <c r="D8" s="235"/>
      <c r="E8" s="235"/>
      <c r="F8" s="100" t="s">
        <v>229</v>
      </c>
    </row>
    <row r="9" spans="1:6" s="34" customFormat="1" ht="28.5" customHeight="1">
      <c r="A9" s="46" t="s">
        <v>78</v>
      </c>
      <c r="B9" s="46"/>
      <c r="C9" s="46"/>
      <c r="D9" s="46"/>
      <c r="E9" s="46"/>
      <c r="F9" s="47">
        <f>SUM(F10)</f>
        <v>490000</v>
      </c>
    </row>
    <row r="10" spans="1:7" s="34" customFormat="1" ht="15.75">
      <c r="A10" s="34" t="s">
        <v>56</v>
      </c>
      <c r="B10" s="34" t="s">
        <v>57</v>
      </c>
      <c r="F10" s="33">
        <f>SUM(F11)</f>
        <v>490000</v>
      </c>
      <c r="G10" s="43"/>
    </row>
    <row r="11" spans="3:7" ht="15.75">
      <c r="C11" s="1" t="s">
        <v>191</v>
      </c>
      <c r="D11" s="1" t="s">
        <v>192</v>
      </c>
      <c r="F11" s="36">
        <f>SUM(F12)</f>
        <v>490000</v>
      </c>
      <c r="G11" s="38"/>
    </row>
    <row r="12" spans="5:7" ht="15.75">
      <c r="E12" s="1" t="s">
        <v>217</v>
      </c>
      <c r="F12" s="31">
        <v>490000</v>
      </c>
      <c r="G12" s="38"/>
    </row>
    <row r="13" spans="1:6" ht="37.5" customHeight="1">
      <c r="A13" s="237" t="s">
        <v>10</v>
      </c>
      <c r="B13" s="238"/>
      <c r="C13" s="238"/>
      <c r="D13" s="238"/>
      <c r="E13" s="238"/>
      <c r="F13" s="40">
        <f>SUM(F17+F14)</f>
        <v>66000</v>
      </c>
    </row>
    <row r="14" spans="1:7" s="34" customFormat="1" ht="15.75">
      <c r="A14" s="34" t="s">
        <v>56</v>
      </c>
      <c r="B14" s="34" t="s">
        <v>57</v>
      </c>
      <c r="F14" s="33">
        <f>SUM(F15:F16)</f>
        <v>61000</v>
      </c>
      <c r="G14" s="43"/>
    </row>
    <row r="15" spans="3:10" ht="15.75">
      <c r="C15" s="1" t="s">
        <v>191</v>
      </c>
      <c r="D15" s="1" t="s">
        <v>192</v>
      </c>
      <c r="F15" s="36">
        <v>60000</v>
      </c>
      <c r="G15" s="44"/>
      <c r="H15" s="38"/>
      <c r="I15" s="38"/>
      <c r="J15" s="2"/>
    </row>
    <row r="16" spans="3:7" ht="15.75">
      <c r="C16" s="1" t="s">
        <v>58</v>
      </c>
      <c r="D16" s="1" t="s">
        <v>9</v>
      </c>
      <c r="F16" s="36">
        <v>1000</v>
      </c>
      <c r="G16" s="38"/>
    </row>
    <row r="17" spans="1:10" s="34" customFormat="1" ht="15.75">
      <c r="A17" s="34" t="s">
        <v>146</v>
      </c>
      <c r="B17" s="34" t="s">
        <v>147</v>
      </c>
      <c r="F17" s="45">
        <f>SUM(F18)</f>
        <v>5000</v>
      </c>
      <c r="G17" s="98"/>
      <c r="H17" s="43"/>
      <c r="I17" s="43"/>
      <c r="J17" s="35"/>
    </row>
    <row r="18" spans="2:10" ht="15.75">
      <c r="B18" s="1" t="s">
        <v>234</v>
      </c>
      <c r="D18" s="1" t="s">
        <v>235</v>
      </c>
      <c r="F18" s="36">
        <v>5000</v>
      </c>
      <c r="G18" s="44"/>
      <c r="H18" s="38"/>
      <c r="I18" s="38"/>
      <c r="J18" s="2"/>
    </row>
    <row r="19" spans="1:6" ht="32.25" customHeight="1">
      <c r="A19" s="237" t="s">
        <v>63</v>
      </c>
      <c r="B19" s="238"/>
      <c r="C19" s="238"/>
      <c r="D19" s="238"/>
      <c r="E19" s="238"/>
      <c r="F19" s="40">
        <f>SUM(F20)</f>
        <v>27275676</v>
      </c>
    </row>
    <row r="20" spans="1:7" s="34" customFormat="1" ht="15.75">
      <c r="A20" s="34" t="s">
        <v>79</v>
      </c>
      <c r="B20" s="34" t="s">
        <v>80</v>
      </c>
      <c r="F20" s="33">
        <f>SUM(F21)</f>
        <v>27275676</v>
      </c>
      <c r="G20" s="43"/>
    </row>
    <row r="21" spans="2:7" ht="15.75">
      <c r="B21" s="1" t="s">
        <v>81</v>
      </c>
      <c r="D21" s="1" t="s">
        <v>82</v>
      </c>
      <c r="F21" s="3">
        <f>SUM(F22)</f>
        <v>27275676</v>
      </c>
      <c r="G21" s="38"/>
    </row>
    <row r="22" spans="3:7" ht="15.75">
      <c r="C22" s="1" t="s">
        <v>83</v>
      </c>
      <c r="D22" s="1" t="s">
        <v>84</v>
      </c>
      <c r="F22" s="36">
        <f>SUM(F23)</f>
        <v>27275676</v>
      </c>
      <c r="G22" s="38"/>
    </row>
    <row r="23" spans="3:7" ht="15.75">
      <c r="C23" s="1" t="s">
        <v>85</v>
      </c>
      <c r="E23" s="1" t="s">
        <v>86</v>
      </c>
      <c r="F23" s="36">
        <v>27275676</v>
      </c>
      <c r="G23" s="38"/>
    </row>
    <row r="24" spans="1:6" s="34" customFormat="1" ht="30.75" customHeight="1">
      <c r="A24" s="39" t="s">
        <v>236</v>
      </c>
      <c r="B24" s="39"/>
      <c r="C24" s="39"/>
      <c r="D24" s="39"/>
      <c r="E24" s="39"/>
      <c r="F24" s="97">
        <f>SUM(F25)</f>
        <v>9150000</v>
      </c>
    </row>
    <row r="25" spans="1:7" s="34" customFormat="1" ht="15.75">
      <c r="A25" s="34" t="s">
        <v>87</v>
      </c>
      <c r="B25" s="34" t="s">
        <v>88</v>
      </c>
      <c r="F25" s="33">
        <f>SUM(F26+F29+F36)</f>
        <v>9150000</v>
      </c>
      <c r="G25" s="43"/>
    </row>
    <row r="26" spans="2:7" ht="15.75">
      <c r="B26" s="1" t="s">
        <v>89</v>
      </c>
      <c r="D26" s="1" t="s">
        <v>90</v>
      </c>
      <c r="F26" s="96">
        <f>SUM(F27:F28)</f>
        <v>3000000</v>
      </c>
      <c r="G26" s="38"/>
    </row>
    <row r="27" spans="5:7" ht="15.75">
      <c r="E27" s="1" t="s">
        <v>93</v>
      </c>
      <c r="F27" s="31">
        <v>1500000</v>
      </c>
      <c r="G27" s="6"/>
    </row>
    <row r="28" spans="1:7" ht="15.75">
      <c r="A28" s="34"/>
      <c r="B28" s="34"/>
      <c r="C28" s="34"/>
      <c r="D28" s="34"/>
      <c r="E28" s="1" t="s">
        <v>94</v>
      </c>
      <c r="F28" s="31">
        <v>1500000</v>
      </c>
      <c r="G28" s="6"/>
    </row>
    <row r="29" spans="1:7" ht="15.75">
      <c r="A29" s="34"/>
      <c r="B29" s="1" t="s">
        <v>95</v>
      </c>
      <c r="D29" s="1" t="s">
        <v>96</v>
      </c>
      <c r="F29" s="3">
        <f>SUM(F30+F32+F34)</f>
        <v>6000000</v>
      </c>
      <c r="G29" s="38"/>
    </row>
    <row r="30" spans="1:7" ht="15.75">
      <c r="A30" s="34"/>
      <c r="C30" s="1" t="s">
        <v>97</v>
      </c>
      <c r="D30" s="1" t="s">
        <v>98</v>
      </c>
      <c r="F30" s="96">
        <f>SUM(F31)</f>
        <v>5000000</v>
      </c>
      <c r="G30" s="38"/>
    </row>
    <row r="31" spans="1:7" ht="15.75">
      <c r="A31" s="34"/>
      <c r="E31" s="1" t="s">
        <v>99</v>
      </c>
      <c r="F31" s="31">
        <v>5000000</v>
      </c>
      <c r="G31" s="38"/>
    </row>
    <row r="32" spans="1:7" ht="15.75">
      <c r="A32" s="34"/>
      <c r="C32" s="1" t="s">
        <v>100</v>
      </c>
      <c r="D32" s="1" t="s">
        <v>101</v>
      </c>
      <c r="F32" s="96">
        <f>SUM(F33)</f>
        <v>750000</v>
      </c>
      <c r="G32" s="38"/>
    </row>
    <row r="33" spans="1:7" ht="15.75">
      <c r="A33" s="34"/>
      <c r="E33" s="1" t="s">
        <v>102</v>
      </c>
      <c r="F33" s="31">
        <v>750000</v>
      </c>
      <c r="G33" s="38"/>
    </row>
    <row r="34" spans="1:7" ht="15.75">
      <c r="A34" s="34"/>
      <c r="C34" s="1" t="s">
        <v>103</v>
      </c>
      <c r="D34" s="1" t="s">
        <v>104</v>
      </c>
      <c r="F34" s="96">
        <f>SUM(F35)</f>
        <v>250000</v>
      </c>
      <c r="G34" s="38"/>
    </row>
    <row r="35" spans="1:7" ht="15.75">
      <c r="A35" s="34"/>
      <c r="E35" s="1" t="s">
        <v>105</v>
      </c>
      <c r="F35" s="31">
        <v>250000</v>
      </c>
      <c r="G35" s="38"/>
    </row>
    <row r="36" spans="2:6" ht="15.75">
      <c r="B36" s="1" t="s">
        <v>91</v>
      </c>
      <c r="D36" s="1" t="s">
        <v>92</v>
      </c>
      <c r="F36" s="3">
        <f>SUM(F37:F37)</f>
        <v>150000</v>
      </c>
    </row>
    <row r="37" spans="5:6" ht="15.75">
      <c r="E37" s="1" t="s">
        <v>216</v>
      </c>
      <c r="F37" s="31">
        <v>150000</v>
      </c>
    </row>
    <row r="38" spans="1:6" s="34" customFormat="1" ht="32.25" customHeight="1">
      <c r="A38" s="39" t="s">
        <v>67</v>
      </c>
      <c r="B38" s="39"/>
      <c r="C38" s="39"/>
      <c r="D38" s="39"/>
      <c r="E38" s="39"/>
      <c r="F38" s="40">
        <f>SUM(F39)</f>
        <v>50000</v>
      </c>
    </row>
    <row r="39" spans="1:6" s="34" customFormat="1" ht="15.75">
      <c r="A39" s="34" t="s">
        <v>56</v>
      </c>
      <c r="B39" s="34" t="s">
        <v>57</v>
      </c>
      <c r="F39" s="45">
        <f>SUM(F40)</f>
        <v>50000</v>
      </c>
    </row>
    <row r="40" spans="3:6" ht="15.75">
      <c r="C40" s="1" t="s">
        <v>191</v>
      </c>
      <c r="D40" s="1" t="s">
        <v>192</v>
      </c>
      <c r="F40" s="36">
        <v>50000</v>
      </c>
    </row>
    <row r="41" spans="1:6" s="34" customFormat="1" ht="37.5" customHeight="1">
      <c r="A41" s="39" t="s">
        <v>115</v>
      </c>
      <c r="B41" s="39"/>
      <c r="C41" s="39"/>
      <c r="D41" s="39"/>
      <c r="E41" s="39"/>
      <c r="F41" s="40">
        <f>SUM(F42)</f>
        <v>40340260</v>
      </c>
    </row>
    <row r="42" spans="1:7" ht="18" customHeight="1">
      <c r="A42" s="34" t="s">
        <v>106</v>
      </c>
      <c r="B42" s="34" t="s">
        <v>107</v>
      </c>
      <c r="C42" s="34"/>
      <c r="D42" s="34"/>
      <c r="E42" s="34"/>
      <c r="F42" s="172">
        <f>SUM(F43)</f>
        <v>40340260</v>
      </c>
      <c r="G42" s="33"/>
    </row>
    <row r="43" spans="2:7" ht="15.75">
      <c r="B43" s="1" t="s">
        <v>108</v>
      </c>
      <c r="D43" s="1" t="s">
        <v>109</v>
      </c>
      <c r="F43" s="36">
        <f>SUM(F44+F55+F62+F63)</f>
        <v>40340260</v>
      </c>
      <c r="G43" s="33"/>
    </row>
    <row r="44" spans="3:7" s="34" customFormat="1" ht="15.75">
      <c r="C44" s="1" t="s">
        <v>110</v>
      </c>
      <c r="D44" s="1" t="s">
        <v>111</v>
      </c>
      <c r="E44" s="1"/>
      <c r="F44" s="45">
        <f>SUM(F45,F50,F51,F52,F53,F54)</f>
        <v>12241260</v>
      </c>
      <c r="G44" s="33"/>
    </row>
    <row r="45" spans="3:7" s="34" customFormat="1" ht="15.75">
      <c r="C45" s="1"/>
      <c r="D45" s="1"/>
      <c r="E45" s="1" t="s">
        <v>116</v>
      </c>
      <c r="F45" s="96">
        <f>SUM(F46:F49)</f>
        <v>4064190</v>
      </c>
      <c r="G45" s="33"/>
    </row>
    <row r="46" spans="3:7" s="34" customFormat="1" ht="15.75">
      <c r="C46" s="1"/>
      <c r="D46" s="1"/>
      <c r="E46" s="1" t="s">
        <v>291</v>
      </c>
      <c r="F46" s="36">
        <v>1121690</v>
      </c>
      <c r="G46" s="33"/>
    </row>
    <row r="47" spans="3:7" s="34" customFormat="1" ht="15.75">
      <c r="C47" s="1"/>
      <c r="D47" s="1"/>
      <c r="E47" s="1" t="s">
        <v>292</v>
      </c>
      <c r="F47" s="36">
        <v>2048000</v>
      </c>
      <c r="G47" s="33"/>
    </row>
    <row r="48" spans="3:7" s="34" customFormat="1" ht="15.75">
      <c r="C48" s="1"/>
      <c r="D48" s="1"/>
      <c r="E48" s="1" t="s">
        <v>299</v>
      </c>
      <c r="F48" s="36">
        <v>100000</v>
      </c>
      <c r="G48" s="33"/>
    </row>
    <row r="49" spans="3:7" s="34" customFormat="1" ht="15.75">
      <c r="C49" s="1"/>
      <c r="D49" s="1"/>
      <c r="E49" s="1" t="s">
        <v>290</v>
      </c>
      <c r="F49" s="36">
        <v>794500</v>
      </c>
      <c r="G49" s="33"/>
    </row>
    <row r="50" spans="3:7" s="34" customFormat="1" ht="15.75">
      <c r="C50" s="1"/>
      <c r="D50" s="1"/>
      <c r="E50" s="1" t="s">
        <v>117</v>
      </c>
      <c r="F50" s="36">
        <v>5000000</v>
      </c>
      <c r="G50" s="33"/>
    </row>
    <row r="51" spans="3:7" s="34" customFormat="1" ht="15.75">
      <c r="C51" s="1"/>
      <c r="D51" s="1"/>
      <c r="E51" s="1" t="s">
        <v>200</v>
      </c>
      <c r="F51" s="36">
        <v>94350</v>
      </c>
      <c r="G51" s="33"/>
    </row>
    <row r="52" spans="3:7" s="34" customFormat="1" ht="15.75">
      <c r="C52" s="1"/>
      <c r="D52" s="1"/>
      <c r="E52" s="1" t="s">
        <v>120</v>
      </c>
      <c r="F52" s="36">
        <v>198716</v>
      </c>
      <c r="G52" s="33"/>
    </row>
    <row r="53" spans="3:7" s="34" customFormat="1" ht="15.75">
      <c r="C53" s="1"/>
      <c r="D53" s="1"/>
      <c r="E53" s="1" t="s">
        <v>260</v>
      </c>
      <c r="F53" s="36">
        <v>990400</v>
      </c>
      <c r="G53" s="33"/>
    </row>
    <row r="54" spans="3:7" s="34" customFormat="1" ht="15.75">
      <c r="C54" s="1"/>
      <c r="D54" s="1"/>
      <c r="E54" s="1" t="s">
        <v>201</v>
      </c>
      <c r="F54" s="36">
        <v>1893604</v>
      </c>
      <c r="G54" s="33"/>
    </row>
    <row r="55" spans="3:7" ht="30.75" customHeight="1">
      <c r="C55" s="1" t="s">
        <v>112</v>
      </c>
      <c r="D55" s="241" t="s">
        <v>113</v>
      </c>
      <c r="E55" s="241"/>
      <c r="F55" s="96">
        <f>SUM(F56+F57+F61+F60)</f>
        <v>26299000</v>
      </c>
      <c r="G55" s="36"/>
    </row>
    <row r="56" spans="4:7" ht="15" customHeight="1">
      <c r="D56" s="37"/>
      <c r="E56" s="37" t="s">
        <v>118</v>
      </c>
      <c r="F56" s="227">
        <v>3100000</v>
      </c>
      <c r="G56" s="38"/>
    </row>
    <row r="57" spans="4:7" ht="15" customHeight="1">
      <c r="D57" s="37"/>
      <c r="E57" s="37" t="s">
        <v>119</v>
      </c>
      <c r="F57" s="173">
        <f>SUM(F58:F59)</f>
        <v>20327000</v>
      </c>
      <c r="G57" s="38"/>
    </row>
    <row r="58" spans="4:7" ht="15" customHeight="1">
      <c r="D58" s="37"/>
      <c r="E58" s="37" t="s">
        <v>218</v>
      </c>
      <c r="F58" s="227">
        <v>19936000</v>
      </c>
      <c r="G58" s="38"/>
    </row>
    <row r="59" spans="4:7" ht="15" customHeight="1">
      <c r="D59" s="37"/>
      <c r="E59" s="37" t="s">
        <v>219</v>
      </c>
      <c r="F59" s="227">
        <v>391000</v>
      </c>
      <c r="G59" s="38"/>
    </row>
    <row r="60" spans="4:7" ht="15" customHeight="1">
      <c r="D60" s="37"/>
      <c r="E60" s="37" t="s">
        <v>285</v>
      </c>
      <c r="F60" s="227">
        <v>0</v>
      </c>
      <c r="G60" s="6"/>
    </row>
    <row r="61" spans="4:7" ht="15" customHeight="1">
      <c r="D61" s="37"/>
      <c r="E61" s="37" t="s">
        <v>211</v>
      </c>
      <c r="F61" s="227">
        <v>2872000</v>
      </c>
      <c r="G61" s="6"/>
    </row>
    <row r="62" spans="3:7" ht="15.75">
      <c r="C62" s="1" t="s">
        <v>114</v>
      </c>
      <c r="D62" s="1" t="s">
        <v>220</v>
      </c>
      <c r="F62" s="36">
        <v>1800000</v>
      </c>
      <c r="G62" s="38"/>
    </row>
    <row r="63" spans="3:7" ht="15.75">
      <c r="C63" s="1" t="s">
        <v>275</v>
      </c>
      <c r="D63" s="1" t="s">
        <v>276</v>
      </c>
      <c r="F63" s="36">
        <v>0</v>
      </c>
      <c r="G63" s="6"/>
    </row>
    <row r="64" spans="2:7" ht="15.75">
      <c r="B64" s="1" t="s">
        <v>123</v>
      </c>
      <c r="D64" s="1" t="s">
        <v>263</v>
      </c>
      <c r="F64" s="36">
        <f>F65</f>
        <v>3363804</v>
      </c>
      <c r="G64" s="6"/>
    </row>
    <row r="65" spans="5:7" ht="15.75">
      <c r="E65" s="1" t="s">
        <v>300</v>
      </c>
      <c r="F65" s="36">
        <f>'12.Idősek Otthona kiadás'!G15</f>
        <v>3363804</v>
      </c>
      <c r="G65" s="6"/>
    </row>
    <row r="66" spans="1:7" s="34" customFormat="1" ht="30.75" customHeight="1">
      <c r="A66" s="39" t="s">
        <v>230</v>
      </c>
      <c r="B66" s="39"/>
      <c r="C66" s="39"/>
      <c r="D66" s="39"/>
      <c r="E66" s="39"/>
      <c r="F66" s="48">
        <f>SUM(F67)</f>
        <v>3363804</v>
      </c>
      <c r="G66" s="43"/>
    </row>
    <row r="67" spans="1:6" s="34" customFormat="1" ht="15.75">
      <c r="A67" s="34" t="s">
        <v>79</v>
      </c>
      <c r="B67" s="34" t="s">
        <v>80</v>
      </c>
      <c r="E67" s="32"/>
      <c r="F67" s="45">
        <f>SUM(F68)</f>
        <v>3363804</v>
      </c>
    </row>
    <row r="68" spans="3:6" ht="15.75">
      <c r="C68" s="1" t="s">
        <v>212</v>
      </c>
      <c r="D68" s="1" t="s">
        <v>213</v>
      </c>
      <c r="E68" s="6"/>
      <c r="F68" s="31">
        <v>3363804</v>
      </c>
    </row>
    <row r="69" spans="1:6" ht="32.25" customHeight="1">
      <c r="A69" s="237" t="s">
        <v>66</v>
      </c>
      <c r="B69" s="238"/>
      <c r="C69" s="238"/>
      <c r="D69" s="238"/>
      <c r="E69" s="238"/>
      <c r="F69" s="40">
        <f>SUM(F74+F72+F70)</f>
        <v>50000</v>
      </c>
    </row>
    <row r="70" spans="1:6" s="34" customFormat="1" ht="15.75">
      <c r="A70" s="34" t="s">
        <v>121</v>
      </c>
      <c r="B70" s="34" t="s">
        <v>122</v>
      </c>
      <c r="F70" s="33">
        <f>SUM(F71)</f>
        <v>0</v>
      </c>
    </row>
    <row r="71" spans="2:6" ht="15.75">
      <c r="B71" s="1" t="s">
        <v>261</v>
      </c>
      <c r="D71" s="1" t="s">
        <v>262</v>
      </c>
      <c r="F71" s="36">
        <v>0</v>
      </c>
    </row>
    <row r="72" spans="1:6" ht="15.75">
      <c r="A72" s="34" t="s">
        <v>56</v>
      </c>
      <c r="B72" s="34" t="s">
        <v>57</v>
      </c>
      <c r="C72" s="34"/>
      <c r="D72" s="34"/>
      <c r="E72" s="34"/>
      <c r="F72" s="33">
        <f>SUM(F73)</f>
        <v>50000</v>
      </c>
    </row>
    <row r="73" spans="3:6" ht="15.75">
      <c r="C73" s="1" t="s">
        <v>281</v>
      </c>
      <c r="D73" s="1" t="s">
        <v>282</v>
      </c>
      <c r="F73" s="36">
        <v>50000</v>
      </c>
    </row>
    <row r="74" spans="1:6" ht="15.75">
      <c r="A74" s="34" t="s">
        <v>146</v>
      </c>
      <c r="B74" s="34" t="s">
        <v>147</v>
      </c>
      <c r="C74" s="34"/>
      <c r="D74" s="34"/>
      <c r="E74" s="34"/>
      <c r="F74" s="45">
        <v>0</v>
      </c>
    </row>
    <row r="75" spans="2:6" ht="15.75">
      <c r="B75" s="1" t="s">
        <v>234</v>
      </c>
      <c r="D75" s="1" t="s">
        <v>235</v>
      </c>
      <c r="F75" s="36">
        <v>0</v>
      </c>
    </row>
    <row r="76" spans="1:6" s="34" customFormat="1" ht="33" customHeight="1">
      <c r="A76" s="39" t="s">
        <v>72</v>
      </c>
      <c r="B76" s="66"/>
      <c r="C76" s="66"/>
      <c r="D76" s="66"/>
      <c r="E76" s="66"/>
      <c r="F76" s="40">
        <f>SUM(F77)</f>
        <v>4349875.4</v>
      </c>
    </row>
    <row r="77" spans="1:6" s="34" customFormat="1" ht="15.75">
      <c r="A77" s="32" t="s">
        <v>106</v>
      </c>
      <c r="B77" s="34" t="s">
        <v>107</v>
      </c>
      <c r="C77" s="32"/>
      <c r="D77" s="95"/>
      <c r="E77" s="45"/>
      <c r="F77" s="33">
        <f>SUM(F78)</f>
        <v>4349875.4</v>
      </c>
    </row>
    <row r="78" spans="1:6" ht="15.75">
      <c r="A78" s="32"/>
      <c r="B78" s="6" t="s">
        <v>123</v>
      </c>
      <c r="D78" s="1" t="s">
        <v>263</v>
      </c>
      <c r="E78" s="96"/>
      <c r="F78" s="36">
        <f>'5.kiadás'!H135</f>
        <v>4349875.4</v>
      </c>
    </row>
    <row r="79" spans="1:6" ht="37.5" customHeight="1">
      <c r="A79" s="237" t="s">
        <v>190</v>
      </c>
      <c r="B79" s="238"/>
      <c r="C79" s="238"/>
      <c r="D79" s="238"/>
      <c r="E79" s="238"/>
      <c r="F79" s="40">
        <f>SUM(F80)</f>
        <v>100000</v>
      </c>
    </row>
    <row r="80" spans="1:7" s="34" customFormat="1" ht="15.75">
      <c r="A80" s="34" t="s">
        <v>56</v>
      </c>
      <c r="B80" s="34" t="s">
        <v>57</v>
      </c>
      <c r="F80" s="33">
        <f>SUM(F81)</f>
        <v>100000</v>
      </c>
      <c r="G80" s="43"/>
    </row>
    <row r="81" spans="3:7" ht="15.75">
      <c r="C81" s="1" t="s">
        <v>191</v>
      </c>
      <c r="D81" s="1" t="s">
        <v>192</v>
      </c>
      <c r="F81" s="36">
        <v>100000</v>
      </c>
      <c r="G81" s="38"/>
    </row>
    <row r="82" spans="1:7" ht="27.75" customHeight="1">
      <c r="A82" s="237" t="s">
        <v>301</v>
      </c>
      <c r="B82" s="238"/>
      <c r="C82" s="238"/>
      <c r="D82" s="238"/>
      <c r="E82" s="238"/>
      <c r="F82" s="40">
        <f>F83</f>
        <v>43000</v>
      </c>
      <c r="G82" s="38"/>
    </row>
    <row r="83" spans="1:7" ht="15.75">
      <c r="A83" s="32" t="s">
        <v>106</v>
      </c>
      <c r="B83" s="34" t="s">
        <v>107</v>
      </c>
      <c r="C83" s="32"/>
      <c r="D83" s="95"/>
      <c r="E83" s="45"/>
      <c r="F83" s="45">
        <f>F84</f>
        <v>43000</v>
      </c>
      <c r="G83" s="38"/>
    </row>
    <row r="84" spans="1:7" ht="15" customHeight="1">
      <c r="A84" s="32"/>
      <c r="B84" s="6" t="s">
        <v>123</v>
      </c>
      <c r="D84" s="1" t="s">
        <v>263</v>
      </c>
      <c r="E84" s="96"/>
      <c r="F84" s="36">
        <v>43000</v>
      </c>
      <c r="G84" s="38"/>
    </row>
    <row r="85" spans="1:7" ht="15" customHeight="1">
      <c r="A85" s="32"/>
      <c r="B85" s="6"/>
      <c r="E85" s="31" t="s">
        <v>306</v>
      </c>
      <c r="F85" s="36">
        <v>43000</v>
      </c>
      <c r="G85" s="38"/>
    </row>
    <row r="86" spans="1:6" s="34" customFormat="1" ht="30.75" customHeight="1">
      <c r="A86" s="39" t="s">
        <v>125</v>
      </c>
      <c r="B86" s="39"/>
      <c r="C86" s="39"/>
      <c r="D86" s="39"/>
      <c r="E86" s="39"/>
      <c r="F86" s="97">
        <f>SUM(F9+F13+F19+F24+F41+F69+F76+F79+F38+F66+F82)</f>
        <v>85278615.4</v>
      </c>
    </row>
    <row r="87" s="24" customFormat="1" ht="15.75">
      <c r="F87" s="3"/>
    </row>
    <row r="88" spans="3:6" ht="15.75">
      <c r="C88" s="34"/>
      <c r="E88" s="96" t="s">
        <v>106</v>
      </c>
      <c r="F88" s="3">
        <f>F77+F42+F83</f>
        <v>44733135.4</v>
      </c>
    </row>
    <row r="89" spans="3:6" ht="15.75">
      <c r="C89" s="34"/>
      <c r="E89" s="96" t="s">
        <v>121</v>
      </c>
      <c r="F89" s="3">
        <f>F70</f>
        <v>0</v>
      </c>
    </row>
    <row r="90" spans="3:6" ht="15.75">
      <c r="C90" s="34"/>
      <c r="E90" s="96" t="s">
        <v>87</v>
      </c>
      <c r="F90" s="3">
        <f>F25</f>
        <v>9150000</v>
      </c>
    </row>
    <row r="91" spans="3:6" ht="15.75">
      <c r="C91" s="34"/>
      <c r="E91" s="96" t="s">
        <v>56</v>
      </c>
      <c r="F91" s="3">
        <f>F10+F14+F39+F72+F80</f>
        <v>751000</v>
      </c>
    </row>
    <row r="92" spans="3:6" ht="15.75">
      <c r="C92" s="34"/>
      <c r="E92" s="96" t="s">
        <v>146</v>
      </c>
      <c r="F92" s="3">
        <f>F17</f>
        <v>5000</v>
      </c>
    </row>
    <row r="93" spans="3:6" ht="15.75">
      <c r="C93" s="34"/>
      <c r="E93" s="96" t="s">
        <v>151</v>
      </c>
      <c r="F93" s="3">
        <v>0</v>
      </c>
    </row>
    <row r="94" spans="5:6" ht="15.75">
      <c r="E94" s="96" t="s">
        <v>79</v>
      </c>
      <c r="F94" s="3">
        <f>F67+F20</f>
        <v>30639480</v>
      </c>
    </row>
    <row r="95" spans="5:6" s="34" customFormat="1" ht="15.75">
      <c r="E95" s="105"/>
      <c r="F95" s="33">
        <f>SUM(F88:F94)</f>
        <v>85278615.4</v>
      </c>
    </row>
    <row r="96" ht="15.75">
      <c r="E96" s="20"/>
    </row>
    <row r="97" ht="15.75">
      <c r="E97" s="20"/>
    </row>
    <row r="98" ht="15.75">
      <c r="E98" s="20"/>
    </row>
    <row r="99" ht="15.75">
      <c r="E99" s="20"/>
    </row>
  </sheetData>
  <sheetProtection/>
  <mergeCells count="12">
    <mergeCell ref="A7:E8"/>
    <mergeCell ref="A2:E2"/>
    <mergeCell ref="A1:F1"/>
    <mergeCell ref="A82:E82"/>
    <mergeCell ref="A3:E3"/>
    <mergeCell ref="A4:E4"/>
    <mergeCell ref="A5:E5"/>
    <mergeCell ref="A13:E13"/>
    <mergeCell ref="A79:E79"/>
    <mergeCell ref="A69:E69"/>
    <mergeCell ref="D55:E55"/>
    <mergeCell ref="A19:E19"/>
  </mergeCells>
  <printOptions gridLines="1" headings="1"/>
  <pageMargins left="0.75" right="0.75" top="1" bottom="1" header="0.5" footer="0.5"/>
  <pageSetup horizontalDpi="600" verticalDpi="600" orientation="portrait" paperSize="9" scale="80" r:id="rId1"/>
  <rowBreaks count="1" manualBreakCount="1">
    <brk id="4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3.8515625" style="7" customWidth="1"/>
    <col min="2" max="2" width="4.57421875" style="7" customWidth="1"/>
    <col min="3" max="3" width="5.8515625" style="7" customWidth="1"/>
    <col min="4" max="4" width="4.7109375" style="7" customWidth="1"/>
    <col min="5" max="5" width="65.7109375" style="7" customWidth="1"/>
    <col min="6" max="6" width="14.57421875" style="0" customWidth="1"/>
    <col min="7" max="16384" width="9.140625" style="7" customWidth="1"/>
  </cols>
  <sheetData>
    <row r="1" spans="1:6" ht="15.75">
      <c r="A1" s="240" t="s">
        <v>325</v>
      </c>
      <c r="B1" s="240"/>
      <c r="C1" s="240"/>
      <c r="D1" s="240"/>
      <c r="E1" s="240"/>
      <c r="F1" s="240"/>
    </row>
    <row r="2" spans="1:6" s="10" customFormat="1" ht="16.5" customHeight="1">
      <c r="A2" s="240"/>
      <c r="B2" s="240"/>
      <c r="C2" s="240"/>
      <c r="D2" s="240"/>
      <c r="E2" s="240"/>
      <c r="F2" s="226"/>
    </row>
    <row r="3" spans="1:7" s="1" customFormat="1" ht="23.25" customHeight="1">
      <c r="A3" s="234" t="s">
        <v>60</v>
      </c>
      <c r="B3" s="234"/>
      <c r="C3" s="234"/>
      <c r="D3" s="234"/>
      <c r="E3" s="234"/>
      <c r="G3" s="2"/>
    </row>
    <row r="4" spans="1:7" s="1" customFormat="1" ht="20.25" customHeight="1">
      <c r="A4" s="234" t="s">
        <v>286</v>
      </c>
      <c r="B4" s="234"/>
      <c r="C4" s="234"/>
      <c r="D4" s="234"/>
      <c r="E4" s="234"/>
      <c r="G4" s="2"/>
    </row>
    <row r="5" spans="1:7" s="1" customFormat="1" ht="15.75">
      <c r="A5" s="239" t="s">
        <v>186</v>
      </c>
      <c r="B5" s="239"/>
      <c r="C5" s="239"/>
      <c r="D5" s="239"/>
      <c r="E5" s="239"/>
      <c r="G5" s="2"/>
    </row>
    <row r="6" spans="1:7" s="24" customFormat="1" ht="15.75">
      <c r="A6" s="26"/>
      <c r="B6" s="26"/>
      <c r="C6" s="26"/>
      <c r="D6" s="26"/>
      <c r="E6" s="26"/>
      <c r="F6" s="38"/>
      <c r="G6" s="25"/>
    </row>
    <row r="7" spans="1:7" s="1" customFormat="1" ht="31.5" customHeight="1">
      <c r="A7" s="235" t="s">
        <v>187</v>
      </c>
      <c r="B7" s="235"/>
      <c r="C7" s="235"/>
      <c r="D7" s="235"/>
      <c r="E7" s="235"/>
      <c r="F7" s="103" t="s">
        <v>228</v>
      </c>
      <c r="G7" s="2"/>
    </row>
    <row r="8" spans="1:6" s="34" customFormat="1" ht="27" customHeight="1">
      <c r="A8" s="235"/>
      <c r="B8" s="235"/>
      <c r="C8" s="235"/>
      <c r="D8" s="235"/>
      <c r="E8" s="235"/>
      <c r="F8" s="103" t="s">
        <v>229</v>
      </c>
    </row>
    <row r="9" spans="1:9" s="1" customFormat="1" ht="18" customHeight="1">
      <c r="A9" s="34" t="s">
        <v>106</v>
      </c>
      <c r="B9" s="34" t="s">
        <v>107</v>
      </c>
      <c r="C9" s="34"/>
      <c r="D9" s="34"/>
      <c r="E9" s="34"/>
      <c r="F9" s="228">
        <f>F10+F27</f>
        <v>44733135.4</v>
      </c>
      <c r="G9" s="33"/>
      <c r="H9" s="41"/>
      <c r="I9" s="42"/>
    </row>
    <row r="10" spans="2:9" s="1" customFormat="1" ht="15.75">
      <c r="B10" s="1" t="s">
        <v>108</v>
      </c>
      <c r="D10" s="1" t="s">
        <v>109</v>
      </c>
      <c r="F10" s="82">
        <f>SUM(F11+F18+F25+F26)</f>
        <v>40340260</v>
      </c>
      <c r="G10" s="33"/>
      <c r="H10" s="20"/>
      <c r="I10" s="2"/>
    </row>
    <row r="11" spans="3:9" s="34" customFormat="1" ht="15.75">
      <c r="C11" s="1" t="s">
        <v>110</v>
      </c>
      <c r="D11" s="1" t="s">
        <v>111</v>
      </c>
      <c r="E11" s="1"/>
      <c r="F11" s="76">
        <f>SUM(F12:F17)</f>
        <v>12241260</v>
      </c>
      <c r="G11" s="33"/>
      <c r="I11" s="35"/>
    </row>
    <row r="12" spans="3:9" s="34" customFormat="1" ht="15.75">
      <c r="C12" s="1"/>
      <c r="D12" s="1"/>
      <c r="E12" s="1" t="s">
        <v>116</v>
      </c>
      <c r="F12" s="81">
        <f>'2.bevétel'!F45</f>
        <v>4064190</v>
      </c>
      <c r="G12" s="33"/>
      <c r="I12" s="35"/>
    </row>
    <row r="13" spans="3:9" s="34" customFormat="1" ht="15.75">
      <c r="C13" s="1"/>
      <c r="D13" s="1"/>
      <c r="E13" s="1" t="s">
        <v>117</v>
      </c>
      <c r="F13" s="81">
        <f>'2.bevétel'!F50</f>
        <v>5000000</v>
      </c>
      <c r="G13" s="33"/>
      <c r="I13" s="35"/>
    </row>
    <row r="14" spans="3:9" s="34" customFormat="1" ht="15.75">
      <c r="C14" s="1"/>
      <c r="D14" s="1"/>
      <c r="E14" s="1" t="s">
        <v>200</v>
      </c>
      <c r="F14" s="81">
        <f>'2.bevétel'!F51</f>
        <v>94350</v>
      </c>
      <c r="G14" s="33"/>
      <c r="I14" s="35"/>
    </row>
    <row r="15" spans="3:9" s="34" customFormat="1" ht="15.75">
      <c r="C15" s="1"/>
      <c r="D15" s="1"/>
      <c r="E15" s="1" t="s">
        <v>120</v>
      </c>
      <c r="F15" s="81">
        <f>'2.bevétel'!F52</f>
        <v>198716</v>
      </c>
      <c r="G15" s="33"/>
      <c r="I15" s="35"/>
    </row>
    <row r="16" spans="3:9" s="34" customFormat="1" ht="15.75">
      <c r="C16" s="1"/>
      <c r="D16" s="1"/>
      <c r="E16" s="1" t="s">
        <v>260</v>
      </c>
      <c r="F16" s="81">
        <f>'2.bevétel'!F53</f>
        <v>990400</v>
      </c>
      <c r="G16" s="33"/>
      <c r="I16" s="35"/>
    </row>
    <row r="17" spans="3:9" s="34" customFormat="1" ht="15.75">
      <c r="C17" s="1"/>
      <c r="D17" s="1"/>
      <c r="E17" s="1" t="s">
        <v>201</v>
      </c>
      <c r="F17" s="81">
        <f>'2.bevétel'!F54</f>
        <v>1893604</v>
      </c>
      <c r="G17" s="33"/>
      <c r="I17" s="35"/>
    </row>
    <row r="18" spans="3:9" s="1" customFormat="1" ht="30.75" customHeight="1">
      <c r="C18" s="1" t="s">
        <v>112</v>
      </c>
      <c r="D18" s="241" t="s">
        <v>113</v>
      </c>
      <c r="E18" s="241"/>
      <c r="F18" s="76">
        <f>SUM(F19+F20+F24+F23)</f>
        <v>26299000</v>
      </c>
      <c r="G18" s="36"/>
      <c r="H18" s="38"/>
      <c r="I18" s="2"/>
    </row>
    <row r="19" spans="4:9" s="1" customFormat="1" ht="15" customHeight="1">
      <c r="D19" s="37"/>
      <c r="E19" s="37" t="s">
        <v>118</v>
      </c>
      <c r="F19" s="186">
        <f>'2.bevétel'!F56</f>
        <v>3100000</v>
      </c>
      <c r="G19" s="38"/>
      <c r="H19" s="38"/>
      <c r="I19" s="2"/>
    </row>
    <row r="20" spans="4:9" s="1" customFormat="1" ht="15" customHeight="1">
      <c r="D20" s="37"/>
      <c r="E20" s="37" t="s">
        <v>119</v>
      </c>
      <c r="F20" s="186">
        <f>SUM(F21:F22)</f>
        <v>20327000</v>
      </c>
      <c r="G20" s="38"/>
      <c r="H20" s="38"/>
      <c r="I20" s="2"/>
    </row>
    <row r="21" spans="4:9" s="1" customFormat="1" ht="15" customHeight="1">
      <c r="D21" s="37"/>
      <c r="E21" s="37" t="s">
        <v>218</v>
      </c>
      <c r="F21" s="186">
        <f>'2.bevétel'!F58</f>
        <v>19936000</v>
      </c>
      <c r="G21" s="38"/>
      <c r="H21" s="38"/>
      <c r="I21" s="2"/>
    </row>
    <row r="22" spans="4:9" s="1" customFormat="1" ht="15" customHeight="1">
      <c r="D22" s="37"/>
      <c r="E22" s="37" t="s">
        <v>219</v>
      </c>
      <c r="F22" s="186">
        <f>'2.bevétel'!F59</f>
        <v>391000</v>
      </c>
      <c r="G22" s="38"/>
      <c r="H22" s="38"/>
      <c r="I22" s="2"/>
    </row>
    <row r="23" spans="4:9" s="1" customFormat="1" ht="15" customHeight="1">
      <c r="D23" s="37"/>
      <c r="E23" s="37" t="s">
        <v>285</v>
      </c>
      <c r="F23" s="186">
        <v>0</v>
      </c>
      <c r="G23" s="38"/>
      <c r="H23" s="38"/>
      <c r="I23" s="2"/>
    </row>
    <row r="24" spans="4:9" s="1" customFormat="1" ht="15" customHeight="1">
      <c r="D24" s="37"/>
      <c r="E24" s="37" t="s">
        <v>211</v>
      </c>
      <c r="F24" s="186">
        <v>2872000</v>
      </c>
      <c r="G24" s="38"/>
      <c r="H24" s="38"/>
      <c r="I24" s="2"/>
    </row>
    <row r="25" spans="3:9" s="1" customFormat="1" ht="15.75">
      <c r="C25" s="1" t="s">
        <v>114</v>
      </c>
      <c r="D25" s="1" t="s">
        <v>220</v>
      </c>
      <c r="F25" s="76">
        <v>1800000</v>
      </c>
      <c r="G25" s="38"/>
      <c r="H25" s="38"/>
      <c r="I25" s="2"/>
    </row>
    <row r="26" spans="3:9" s="1" customFormat="1" ht="15.75">
      <c r="C26" s="1" t="s">
        <v>275</v>
      </c>
      <c r="D26" s="1" t="s">
        <v>276</v>
      </c>
      <c r="F26" s="76">
        <v>0</v>
      </c>
      <c r="G26" s="6"/>
      <c r="H26" s="38"/>
      <c r="I26" s="2"/>
    </row>
    <row r="27" spans="1:15" s="1" customFormat="1" ht="15.75">
      <c r="A27" s="32"/>
      <c r="B27" s="6" t="s">
        <v>123</v>
      </c>
      <c r="D27" s="1" t="s">
        <v>124</v>
      </c>
      <c r="E27" s="96"/>
      <c r="F27" s="76">
        <f>F28+F29</f>
        <v>4392875.4</v>
      </c>
      <c r="O27" s="171"/>
    </row>
    <row r="28" spans="1:15" s="1" customFormat="1" ht="15.75">
      <c r="A28" s="32"/>
      <c r="E28" s="1" t="s">
        <v>300</v>
      </c>
      <c r="F28" s="81">
        <f>'2.bevétel'!F78</f>
        <v>4349875.4</v>
      </c>
      <c r="O28" s="171"/>
    </row>
    <row r="29" spans="1:15" s="1" customFormat="1" ht="15.75">
      <c r="A29" s="32"/>
      <c r="E29" s="1" t="s">
        <v>306</v>
      </c>
      <c r="F29" s="81">
        <v>43000</v>
      </c>
      <c r="O29" s="171"/>
    </row>
    <row r="30" spans="1:9" s="34" customFormat="1" ht="15.75">
      <c r="A30" s="34" t="s">
        <v>121</v>
      </c>
      <c r="B30" s="34" t="s">
        <v>122</v>
      </c>
      <c r="F30" s="212">
        <f>SUM(F31)</f>
        <v>0</v>
      </c>
      <c r="I30" s="35"/>
    </row>
    <row r="31" spans="2:9" s="1" customFormat="1" ht="15.75">
      <c r="B31" s="1" t="s">
        <v>261</v>
      </c>
      <c r="D31" s="1" t="s">
        <v>262</v>
      </c>
      <c r="F31" s="81">
        <v>0</v>
      </c>
      <c r="I31" s="2"/>
    </row>
    <row r="32" spans="1:9" s="34" customFormat="1" ht="15.75">
      <c r="A32" s="34" t="s">
        <v>87</v>
      </c>
      <c r="B32" s="34" t="s">
        <v>88</v>
      </c>
      <c r="F32" s="229">
        <f>SUM(F33+F36+F43)</f>
        <v>9150000</v>
      </c>
      <c r="G32" s="43"/>
      <c r="H32" s="43"/>
      <c r="I32" s="35"/>
    </row>
    <row r="33" spans="2:9" s="1" customFormat="1" ht="15.75">
      <c r="B33" s="1" t="s">
        <v>89</v>
      </c>
      <c r="D33" s="1" t="s">
        <v>90</v>
      </c>
      <c r="F33" s="76">
        <f>SUM(F34:F35)</f>
        <v>3000000</v>
      </c>
      <c r="G33" s="38"/>
      <c r="H33" s="38"/>
      <c r="I33" s="2"/>
    </row>
    <row r="34" spans="5:9" s="1" customFormat="1" ht="15.75">
      <c r="E34" s="1" t="s">
        <v>93</v>
      </c>
      <c r="F34" s="185">
        <f>'2.bevétel'!F27</f>
        <v>1500000</v>
      </c>
      <c r="G34" s="38"/>
      <c r="H34" s="38"/>
      <c r="I34" s="2"/>
    </row>
    <row r="35" spans="1:9" s="1" customFormat="1" ht="15.75">
      <c r="A35" s="34"/>
      <c r="B35" s="34"/>
      <c r="C35" s="34"/>
      <c r="D35" s="34"/>
      <c r="E35" s="1" t="s">
        <v>94</v>
      </c>
      <c r="F35" s="185">
        <f>'2.bevétel'!F28</f>
        <v>1500000</v>
      </c>
      <c r="G35" s="38"/>
      <c r="H35" s="38"/>
      <c r="I35" s="2"/>
    </row>
    <row r="36" spans="1:9" s="1" customFormat="1" ht="15.75">
      <c r="A36" s="34"/>
      <c r="B36" s="1" t="s">
        <v>95</v>
      </c>
      <c r="D36" s="1" t="s">
        <v>96</v>
      </c>
      <c r="F36" s="82">
        <f>SUM(F37+F39+F41)</f>
        <v>6000000</v>
      </c>
      <c r="G36" s="38"/>
      <c r="H36" s="38"/>
      <c r="I36" s="2"/>
    </row>
    <row r="37" spans="1:9" s="1" customFormat="1" ht="15.75">
      <c r="A37" s="34"/>
      <c r="C37" s="1" t="s">
        <v>97</v>
      </c>
      <c r="D37" s="1" t="s">
        <v>98</v>
      </c>
      <c r="F37" s="81">
        <f>SUM(F38)</f>
        <v>5000000</v>
      </c>
      <c r="G37" s="38"/>
      <c r="H37" s="38"/>
      <c r="I37" s="2"/>
    </row>
    <row r="38" spans="1:9" s="1" customFormat="1" ht="15.75">
      <c r="A38" s="34"/>
      <c r="E38" s="1" t="s">
        <v>99</v>
      </c>
      <c r="F38" s="185">
        <f>'2.bevétel'!F31</f>
        <v>5000000</v>
      </c>
      <c r="G38" s="38"/>
      <c r="H38" s="38"/>
      <c r="I38" s="2"/>
    </row>
    <row r="39" spans="1:9" s="1" customFormat="1" ht="15.75">
      <c r="A39" s="34"/>
      <c r="C39" s="1" t="s">
        <v>100</v>
      </c>
      <c r="D39" s="1" t="s">
        <v>101</v>
      </c>
      <c r="F39" s="81">
        <f>SUM(F40)</f>
        <v>750000</v>
      </c>
      <c r="G39" s="38"/>
      <c r="H39" s="38"/>
      <c r="I39" s="2"/>
    </row>
    <row r="40" spans="1:9" s="1" customFormat="1" ht="15.75">
      <c r="A40" s="34"/>
      <c r="E40" s="1" t="s">
        <v>102</v>
      </c>
      <c r="F40" s="185">
        <f>'2.bevétel'!F33</f>
        <v>750000</v>
      </c>
      <c r="G40" s="38"/>
      <c r="H40" s="38"/>
      <c r="I40" s="2"/>
    </row>
    <row r="41" spans="1:9" s="1" customFormat="1" ht="15.75">
      <c r="A41" s="34"/>
      <c r="C41" s="1" t="s">
        <v>103</v>
      </c>
      <c r="D41" s="1" t="s">
        <v>104</v>
      </c>
      <c r="F41" s="81">
        <f>SUM(F42:F42)</f>
        <v>250000</v>
      </c>
      <c r="G41" s="38"/>
      <c r="H41" s="38"/>
      <c r="I41" s="2"/>
    </row>
    <row r="42" spans="1:9" s="1" customFormat="1" ht="15.75">
      <c r="A42" s="34"/>
      <c r="E42" s="1" t="s">
        <v>105</v>
      </c>
      <c r="F42" s="185">
        <f>'2.bevétel'!F35</f>
        <v>250000</v>
      </c>
      <c r="G42" s="38"/>
      <c r="H42" s="38"/>
      <c r="I42" s="2"/>
    </row>
    <row r="43" spans="2:9" s="1" customFormat="1" ht="15.75">
      <c r="B43" s="1" t="s">
        <v>91</v>
      </c>
      <c r="D43" s="1" t="s">
        <v>92</v>
      </c>
      <c r="F43" s="82">
        <f>SUM(F44:F44)</f>
        <v>150000</v>
      </c>
      <c r="I43" s="2"/>
    </row>
    <row r="44" spans="5:9" s="1" customFormat="1" ht="15.75">
      <c r="E44" s="1" t="s">
        <v>216</v>
      </c>
      <c r="F44" s="185">
        <f>'2.bevétel'!F37</f>
        <v>150000</v>
      </c>
      <c r="I44" s="2"/>
    </row>
    <row r="45" spans="1:9" s="34" customFormat="1" ht="15.75">
      <c r="A45" s="34" t="s">
        <v>56</v>
      </c>
      <c r="B45" s="34" t="s">
        <v>57</v>
      </c>
      <c r="F45" s="229">
        <f>SUM(F46:F48)</f>
        <v>751000</v>
      </c>
      <c r="G45" s="43"/>
      <c r="H45" s="43"/>
      <c r="I45" s="35"/>
    </row>
    <row r="46" spans="3:9" s="1" customFormat="1" ht="15.75">
      <c r="C46" s="1" t="s">
        <v>191</v>
      </c>
      <c r="D46" s="1" t="s">
        <v>192</v>
      </c>
      <c r="F46" s="81">
        <f>'2.bevétel'!F11+'2.bevétel'!F15+'2.bevétel'!F80+'2.bevétel'!F39</f>
        <v>700000</v>
      </c>
      <c r="G46" s="38"/>
      <c r="H46" s="38"/>
      <c r="I46" s="2"/>
    </row>
    <row r="47" spans="3:9" s="1" customFormat="1" ht="15.75">
      <c r="C47" s="1" t="s">
        <v>58</v>
      </c>
      <c r="D47" s="1" t="s">
        <v>9</v>
      </c>
      <c r="F47" s="81">
        <f>'2.bevétel'!F16</f>
        <v>1000</v>
      </c>
      <c r="G47" s="38"/>
      <c r="H47" s="38"/>
      <c r="I47" s="2"/>
    </row>
    <row r="48" spans="3:9" s="1" customFormat="1" ht="15.75">
      <c r="C48" s="1" t="s">
        <v>281</v>
      </c>
      <c r="D48" s="1" t="s">
        <v>283</v>
      </c>
      <c r="F48" s="81">
        <f>'2.bevétel'!F72</f>
        <v>50000</v>
      </c>
      <c r="G48" s="38"/>
      <c r="H48" s="38"/>
      <c r="I48" s="2"/>
    </row>
    <row r="49" spans="1:12" s="34" customFormat="1" ht="15.75">
      <c r="A49" s="34" t="s">
        <v>146</v>
      </c>
      <c r="B49" s="34" t="s">
        <v>147</v>
      </c>
      <c r="F49" s="77">
        <f>SUM(F50)</f>
        <v>5000</v>
      </c>
      <c r="G49" s="98"/>
      <c r="I49" s="43"/>
      <c r="J49" s="43"/>
      <c r="K49" s="43"/>
      <c r="L49" s="35"/>
    </row>
    <row r="50" spans="2:12" s="1" customFormat="1" ht="15.75">
      <c r="B50" s="1" t="s">
        <v>234</v>
      </c>
      <c r="D50" s="1" t="s">
        <v>235</v>
      </c>
      <c r="F50" s="81">
        <v>5000</v>
      </c>
      <c r="G50" s="44"/>
      <c r="I50" s="38"/>
      <c r="J50" s="38"/>
      <c r="K50" s="38"/>
      <c r="L50" s="2"/>
    </row>
    <row r="51" spans="1:9" s="34" customFormat="1" ht="15.75">
      <c r="A51" s="34" t="s">
        <v>79</v>
      </c>
      <c r="B51" s="34" t="s">
        <v>80</v>
      </c>
      <c r="E51" s="32"/>
      <c r="F51" s="77">
        <f>SUM(F52)</f>
        <v>30639480</v>
      </c>
      <c r="I51" s="35"/>
    </row>
    <row r="52" spans="2:9" s="1" customFormat="1" ht="15.75">
      <c r="B52" s="1" t="s">
        <v>81</v>
      </c>
      <c r="D52" s="1" t="s">
        <v>82</v>
      </c>
      <c r="F52" s="82">
        <f>SUM(F53:F54)</f>
        <v>30639480</v>
      </c>
      <c r="G52" s="38"/>
      <c r="H52" s="38"/>
      <c r="I52" s="2"/>
    </row>
    <row r="53" spans="3:9" s="1" customFormat="1" ht="15.75">
      <c r="C53" s="1" t="s">
        <v>83</v>
      </c>
      <c r="E53" s="1" t="s">
        <v>86</v>
      </c>
      <c r="F53" s="185">
        <f>'2.bevétel'!F23</f>
        <v>27275676</v>
      </c>
      <c r="G53" s="38"/>
      <c r="H53" s="38"/>
      <c r="I53" s="2"/>
    </row>
    <row r="54" spans="3:9" s="1" customFormat="1" ht="15.75">
      <c r="C54" s="1" t="s">
        <v>212</v>
      </c>
      <c r="D54" s="1" t="s">
        <v>213</v>
      </c>
      <c r="E54" s="6"/>
      <c r="F54" s="187">
        <f>'2.bevétel'!F68</f>
        <v>3363804</v>
      </c>
      <c r="I54" s="2"/>
    </row>
    <row r="55" spans="1:6" s="34" customFormat="1" ht="24.75" customHeight="1">
      <c r="A55" s="182" t="s">
        <v>163</v>
      </c>
      <c r="B55" s="183"/>
      <c r="C55" s="183"/>
      <c r="D55" s="183"/>
      <c r="E55" s="183"/>
      <c r="F55" s="184">
        <f>F51+F49+F45+F32+F9+F30</f>
        <v>85278615.4</v>
      </c>
    </row>
    <row r="56" s="18" customFormat="1" ht="12.75">
      <c r="F56"/>
    </row>
    <row r="57" s="18" customFormat="1" ht="17.25" customHeight="1">
      <c r="F57" s="213"/>
    </row>
    <row r="58" s="18" customFormat="1" ht="12.75">
      <c r="F58"/>
    </row>
    <row r="59" s="18" customFormat="1" ht="12.75">
      <c r="F59"/>
    </row>
    <row r="60" s="18" customFormat="1" ht="12.75">
      <c r="F60"/>
    </row>
    <row r="61" s="18" customFormat="1" ht="12.75">
      <c r="F61"/>
    </row>
    <row r="62" s="18" customFormat="1" ht="12.75">
      <c r="F62" s="230"/>
    </row>
    <row r="63" s="18" customFormat="1" ht="12.75">
      <c r="F63"/>
    </row>
    <row r="64" s="18" customFormat="1" ht="12.75">
      <c r="F64"/>
    </row>
    <row r="65" s="18" customFormat="1" ht="12.75">
      <c r="F65"/>
    </row>
    <row r="66" s="18" customFormat="1" ht="12.75">
      <c r="F66"/>
    </row>
  </sheetData>
  <sheetProtection/>
  <mergeCells count="7">
    <mergeCell ref="D18:E18"/>
    <mergeCell ref="A2:E2"/>
    <mergeCell ref="A3:E3"/>
    <mergeCell ref="A4:E4"/>
    <mergeCell ref="A5:E5"/>
    <mergeCell ref="A7:E8"/>
    <mergeCell ref="A1:F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90.421875" style="8" customWidth="1"/>
    <col min="2" max="2" width="11.7109375" style="8" customWidth="1"/>
    <col min="3" max="3" width="13.7109375" style="8" customWidth="1"/>
    <col min="4" max="4" width="15.57421875" style="8" customWidth="1"/>
    <col min="5" max="5" width="14.57421875" style="8" customWidth="1"/>
    <col min="6" max="16384" width="9.140625" style="8" customWidth="1"/>
  </cols>
  <sheetData>
    <row r="1" spans="1:5" ht="15.75">
      <c r="A1" s="243" t="s">
        <v>326</v>
      </c>
      <c r="B1" s="243"/>
      <c r="C1" s="243"/>
      <c r="D1" s="243"/>
      <c r="E1" s="243"/>
    </row>
    <row r="2" spans="1:5" s="11" customFormat="1" ht="15.75">
      <c r="A2" s="243"/>
      <c r="B2" s="243"/>
      <c r="C2" s="243"/>
      <c r="D2" s="243"/>
      <c r="E2" s="243"/>
    </row>
    <row r="3" spans="1:5" s="11" customFormat="1" ht="24" customHeight="1">
      <c r="A3" s="242" t="s">
        <v>60</v>
      </c>
      <c r="B3" s="242"/>
      <c r="C3" s="242"/>
      <c r="D3" s="242"/>
      <c r="E3" s="242"/>
    </row>
    <row r="4" spans="1:5" s="11" customFormat="1" ht="23.25" customHeight="1">
      <c r="A4" s="242" t="s">
        <v>319</v>
      </c>
      <c r="B4" s="242"/>
      <c r="C4" s="242"/>
      <c r="D4" s="242"/>
      <c r="E4" s="242"/>
    </row>
    <row r="5" spans="1:5" s="27" customFormat="1" ht="14.25" customHeight="1">
      <c r="A5" s="28"/>
      <c r="B5" s="28"/>
      <c r="C5" s="28"/>
      <c r="D5" s="28"/>
      <c r="E5" s="28"/>
    </row>
    <row r="6" spans="1:5" s="11" customFormat="1" ht="46.5" customHeight="1">
      <c r="A6" s="106" t="s">
        <v>232</v>
      </c>
      <c r="B6" s="107" t="s">
        <v>164</v>
      </c>
      <c r="C6" s="107" t="s">
        <v>165</v>
      </c>
      <c r="D6" s="107" t="s">
        <v>205</v>
      </c>
      <c r="E6" s="107" t="s">
        <v>166</v>
      </c>
    </row>
    <row r="7" spans="1:5" s="11" customFormat="1" ht="15.75">
      <c r="A7" s="108" t="s">
        <v>78</v>
      </c>
      <c r="B7" s="109">
        <f>'2.bevétel'!F9</f>
        <v>490000</v>
      </c>
      <c r="C7" s="110">
        <v>0</v>
      </c>
      <c r="D7" s="110">
        <v>0</v>
      </c>
      <c r="E7" s="111">
        <f aca="true" t="shared" si="0" ref="E7:E18">SUM(B7:D7)</f>
        <v>490000</v>
      </c>
    </row>
    <row r="8" spans="1:5" s="11" customFormat="1" ht="15.75">
      <c r="A8" s="112" t="s">
        <v>237</v>
      </c>
      <c r="B8" s="111">
        <f>'2.bevétel'!F13</f>
        <v>66000</v>
      </c>
      <c r="C8" s="111">
        <v>0</v>
      </c>
      <c r="D8" s="111">
        <v>0</v>
      </c>
      <c r="E8" s="111">
        <f t="shared" si="0"/>
        <v>66000</v>
      </c>
    </row>
    <row r="9" spans="1:5" s="11" customFormat="1" ht="15.75">
      <c r="A9" s="108" t="s">
        <v>63</v>
      </c>
      <c r="B9" s="111">
        <f>'2.bevétel'!F19</f>
        <v>27275676</v>
      </c>
      <c r="C9" s="111">
        <v>0</v>
      </c>
      <c r="D9" s="111">
        <v>0</v>
      </c>
      <c r="E9" s="111">
        <f t="shared" si="0"/>
        <v>27275676</v>
      </c>
    </row>
    <row r="10" spans="1:5" s="11" customFormat="1" ht="15.75">
      <c r="A10" s="108" t="s">
        <v>236</v>
      </c>
      <c r="B10" s="111">
        <f>'2.bevétel'!F24</f>
        <v>9150000</v>
      </c>
      <c r="C10" s="111">
        <v>0</v>
      </c>
      <c r="D10" s="111">
        <v>0</v>
      </c>
      <c r="E10" s="111">
        <f t="shared" si="0"/>
        <v>9150000</v>
      </c>
    </row>
    <row r="11" spans="1:5" s="11" customFormat="1" ht="15.75">
      <c r="A11" s="108" t="s">
        <v>67</v>
      </c>
      <c r="B11" s="111">
        <f>'2.bevétel'!F38</f>
        <v>50000</v>
      </c>
      <c r="C11" s="111">
        <v>0</v>
      </c>
      <c r="D11" s="111">
        <v>0</v>
      </c>
      <c r="E11" s="111">
        <f t="shared" si="0"/>
        <v>50000</v>
      </c>
    </row>
    <row r="12" spans="1:5" s="11" customFormat="1" ht="15.75">
      <c r="A12" s="112" t="s">
        <v>168</v>
      </c>
      <c r="B12" s="111">
        <f>'2.bevétel'!F69</f>
        <v>50000</v>
      </c>
      <c r="C12" s="111">
        <v>0</v>
      </c>
      <c r="D12" s="111">
        <v>0</v>
      </c>
      <c r="E12" s="111">
        <f t="shared" si="0"/>
        <v>50000</v>
      </c>
    </row>
    <row r="13" spans="1:5" s="11" customFormat="1" ht="15.75">
      <c r="A13" s="108" t="s">
        <v>115</v>
      </c>
      <c r="B13" s="111">
        <f>'2.bevétel'!F41</f>
        <v>40340260</v>
      </c>
      <c r="C13" s="111">
        <v>0</v>
      </c>
      <c r="D13" s="111">
        <v>0</v>
      </c>
      <c r="E13" s="111">
        <f t="shared" si="0"/>
        <v>40340260</v>
      </c>
    </row>
    <row r="14" spans="1:5" s="11" customFormat="1" ht="15.75">
      <c r="A14" s="108" t="s">
        <v>230</v>
      </c>
      <c r="B14" s="111">
        <f>'2.bevétel'!F66</f>
        <v>3363804</v>
      </c>
      <c r="C14" s="111">
        <v>0</v>
      </c>
      <c r="D14" s="111">
        <v>0</v>
      </c>
      <c r="E14" s="111">
        <f>SUM(B14:D14)</f>
        <v>3363804</v>
      </c>
    </row>
    <row r="15" spans="1:5" s="11" customFormat="1" ht="15.75">
      <c r="A15" s="108" t="s">
        <v>72</v>
      </c>
      <c r="B15" s="111">
        <f>'2.bevétel'!F76+'11.Idősek Otthona bevétel'!F21</f>
        <v>5385875.4</v>
      </c>
      <c r="C15" s="111">
        <v>0</v>
      </c>
      <c r="D15" s="111">
        <v>0</v>
      </c>
      <c r="E15" s="111">
        <f t="shared" si="0"/>
        <v>5385875.4</v>
      </c>
    </row>
    <row r="16" spans="1:5" s="11" customFormat="1" ht="15.75">
      <c r="A16" s="108" t="s">
        <v>247</v>
      </c>
      <c r="B16" s="111">
        <v>0</v>
      </c>
      <c r="C16" s="111">
        <f>'11.Idősek Otthona bevétel'!F8-'11.Idősek Otthona bevétel'!F20</f>
        <v>24812163</v>
      </c>
      <c r="D16" s="111">
        <v>0</v>
      </c>
      <c r="E16" s="111">
        <f t="shared" si="0"/>
        <v>24812163</v>
      </c>
    </row>
    <row r="17" spans="1:5" s="114" customFormat="1" ht="15.75">
      <c r="A17" s="49" t="s">
        <v>190</v>
      </c>
      <c r="B17" s="113"/>
      <c r="C17" s="113">
        <f>'2.bevétel'!F79</f>
        <v>100000</v>
      </c>
      <c r="D17" s="37">
        <v>0</v>
      </c>
      <c r="E17" s="111">
        <f t="shared" si="0"/>
        <v>100000</v>
      </c>
    </row>
    <row r="18" spans="1:5" s="114" customFormat="1" ht="15.75">
      <c r="A18" s="49" t="s">
        <v>301</v>
      </c>
      <c r="B18" s="113">
        <f>'2.bevétel'!F82</f>
        <v>43000</v>
      </c>
      <c r="C18" s="113"/>
      <c r="D18" s="37"/>
      <c r="E18" s="111">
        <f t="shared" si="0"/>
        <v>43000</v>
      </c>
    </row>
    <row r="19" spans="1:5" s="11" customFormat="1" ht="15.75">
      <c r="A19" s="223" t="s">
        <v>189</v>
      </c>
      <c r="B19" s="224">
        <f>SUM(B7:B18)</f>
        <v>86214615.4</v>
      </c>
      <c r="C19" s="224">
        <f>SUM(C7:C18)</f>
        <v>24912163</v>
      </c>
      <c r="D19" s="224">
        <f>SUM(D8:D15)</f>
        <v>0</v>
      </c>
      <c r="E19" s="224">
        <f>SUM(E7:E18)</f>
        <v>111126778.4</v>
      </c>
    </row>
    <row r="20" s="11" customFormat="1" ht="12.75"/>
    <row r="21" s="11" customFormat="1" ht="12.75"/>
    <row r="22" s="11" customFormat="1" ht="12.75">
      <c r="C22" s="12"/>
    </row>
  </sheetData>
  <sheetProtection/>
  <mergeCells count="4">
    <mergeCell ref="A3:E3"/>
    <mergeCell ref="A4:E4"/>
    <mergeCell ref="A2:E2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1"/>
  <sheetViews>
    <sheetView zoomScaleSheetLayoutView="110" zoomScalePageLayoutView="0" workbookViewId="0" topLeftCell="A1">
      <selection activeCell="A1" sqref="A1:H1"/>
    </sheetView>
  </sheetViews>
  <sheetFormatPr defaultColWidth="9.140625" defaultRowHeight="12.75"/>
  <cols>
    <col min="1" max="1" width="4.140625" style="1" customWidth="1"/>
    <col min="2" max="2" width="4.8515625" style="6" customWidth="1"/>
    <col min="3" max="3" width="9.00390625" style="6" customWidth="1"/>
    <col min="4" max="5" width="2.140625" style="6" customWidth="1"/>
    <col min="6" max="6" width="61.421875" style="6" customWidth="1"/>
    <col min="7" max="7" width="9.140625" style="6" customWidth="1"/>
    <col min="8" max="8" width="16.140625" style="6" customWidth="1"/>
    <col min="9" max="9" width="26.140625" style="1" customWidth="1"/>
    <col min="10" max="10" width="13.8515625" style="1" customWidth="1"/>
    <col min="11" max="16384" width="9.140625" style="1" customWidth="1"/>
  </cols>
  <sheetData>
    <row r="1" spans="1:8" ht="15.75">
      <c r="A1" s="240" t="s">
        <v>327</v>
      </c>
      <c r="B1" s="240"/>
      <c r="C1" s="240"/>
      <c r="D1" s="240"/>
      <c r="E1" s="240"/>
      <c r="F1" s="240"/>
      <c r="G1" s="240"/>
      <c r="H1" s="240"/>
    </row>
    <row r="2" spans="1:8" s="10" customFormat="1" ht="16.5" customHeight="1">
      <c r="A2" s="240"/>
      <c r="B2" s="240"/>
      <c r="C2" s="240"/>
      <c r="D2" s="240"/>
      <c r="E2" s="240"/>
      <c r="F2" s="240"/>
      <c r="G2" s="240"/>
      <c r="H2" s="167"/>
    </row>
    <row r="3" spans="1:8" ht="21.75" customHeight="1">
      <c r="A3" s="234" t="s">
        <v>60</v>
      </c>
      <c r="B3" s="234"/>
      <c r="C3" s="234"/>
      <c r="D3" s="234"/>
      <c r="E3" s="234"/>
      <c r="F3" s="234"/>
      <c r="G3" s="234"/>
      <c r="H3" s="166"/>
    </row>
    <row r="4" spans="1:8" ht="21.75" customHeight="1">
      <c r="A4" s="234" t="s">
        <v>287</v>
      </c>
      <c r="B4" s="234"/>
      <c r="C4" s="234"/>
      <c r="D4" s="234"/>
      <c r="E4" s="234"/>
      <c r="F4" s="234"/>
      <c r="G4" s="234"/>
      <c r="H4" s="166"/>
    </row>
    <row r="5" spans="1:8" ht="18.75" customHeight="1">
      <c r="A5" s="239" t="s">
        <v>5</v>
      </c>
      <c r="B5" s="239"/>
      <c r="C5" s="239"/>
      <c r="D5" s="239"/>
      <c r="E5" s="239"/>
      <c r="F5" s="239"/>
      <c r="G5" s="239"/>
      <c r="H5" s="38"/>
    </row>
    <row r="6" spans="1:8" s="22" customFormat="1" ht="18.75" customHeight="1">
      <c r="A6" s="26"/>
      <c r="B6" s="26"/>
      <c r="C6" s="26"/>
      <c r="D6" s="26"/>
      <c r="E6" s="26"/>
      <c r="F6" s="26"/>
      <c r="G6" s="26"/>
      <c r="H6" s="38"/>
    </row>
    <row r="7" spans="1:8" ht="27.75" customHeight="1">
      <c r="A7" s="235" t="s">
        <v>130</v>
      </c>
      <c r="B7" s="235"/>
      <c r="C7" s="235"/>
      <c r="D7" s="235"/>
      <c r="E7" s="235"/>
      <c r="F7" s="235"/>
      <c r="G7" s="235" t="s">
        <v>4</v>
      </c>
      <c r="H7" s="103" t="s">
        <v>228</v>
      </c>
    </row>
    <row r="8" spans="1:8" s="34" customFormat="1" ht="22.5" customHeight="1">
      <c r="A8" s="235"/>
      <c r="B8" s="235"/>
      <c r="C8" s="235"/>
      <c r="D8" s="235"/>
      <c r="E8" s="235"/>
      <c r="F8" s="235"/>
      <c r="G8" s="235"/>
      <c r="H8" s="103" t="s">
        <v>229</v>
      </c>
    </row>
    <row r="9" spans="1:8" ht="32.25" customHeight="1">
      <c r="A9" s="247" t="s">
        <v>10</v>
      </c>
      <c r="B9" s="248"/>
      <c r="C9" s="248"/>
      <c r="D9" s="248"/>
      <c r="E9" s="248"/>
      <c r="F9" s="249"/>
      <c r="G9" s="59" t="s">
        <v>61</v>
      </c>
      <c r="H9" s="231">
        <f>SUM(H10+H18+H20+H38)</f>
        <v>29028779.08</v>
      </c>
    </row>
    <row r="10" spans="1:8" s="34" customFormat="1" ht="15.75">
      <c r="A10" s="34" t="s">
        <v>11</v>
      </c>
      <c r="B10" s="32" t="s">
        <v>3</v>
      </c>
      <c r="C10" s="32"/>
      <c r="D10" s="32"/>
      <c r="E10" s="32"/>
      <c r="F10" s="61"/>
      <c r="G10" s="61"/>
      <c r="H10" s="65">
        <f>SUM(H11+H15)</f>
        <v>6756144</v>
      </c>
    </row>
    <row r="11" spans="2:8" ht="15.75">
      <c r="B11" s="6" t="s">
        <v>12</v>
      </c>
      <c r="D11" s="6" t="s">
        <v>13</v>
      </c>
      <c r="F11" s="50"/>
      <c r="G11" s="50"/>
      <c r="H11" s="58">
        <f>SUM(H12:H14)</f>
        <v>2424000</v>
      </c>
    </row>
    <row r="12" spans="3:8" ht="15.75">
      <c r="C12" s="6" t="s">
        <v>14</v>
      </c>
      <c r="D12" s="6" t="s">
        <v>15</v>
      </c>
      <c r="F12" s="50"/>
      <c r="G12" s="50"/>
      <c r="H12" s="51">
        <v>2388000</v>
      </c>
    </row>
    <row r="13" spans="3:8" ht="15.75">
      <c r="C13" s="6" t="s">
        <v>280</v>
      </c>
      <c r="D13" s="6" t="s">
        <v>279</v>
      </c>
      <c r="F13" s="50"/>
      <c r="G13" s="50"/>
      <c r="H13" s="51">
        <v>0</v>
      </c>
    </row>
    <row r="14" spans="3:8" ht="15.75">
      <c r="C14" s="6" t="s">
        <v>195</v>
      </c>
      <c r="D14" s="6" t="s">
        <v>193</v>
      </c>
      <c r="F14" s="50"/>
      <c r="G14" s="50"/>
      <c r="H14" s="51">
        <v>36000</v>
      </c>
    </row>
    <row r="15" spans="2:8" ht="15.75">
      <c r="B15" s="6" t="s">
        <v>16</v>
      </c>
      <c r="D15" s="6" t="s">
        <v>0</v>
      </c>
      <c r="F15" s="50"/>
      <c r="G15" s="50"/>
      <c r="H15" s="58">
        <f>SUM(H16:H17)</f>
        <v>4332144</v>
      </c>
    </row>
    <row r="16" spans="3:8" ht="15.75">
      <c r="C16" s="6" t="s">
        <v>18</v>
      </c>
      <c r="D16" s="6" t="s">
        <v>204</v>
      </c>
      <c r="F16" s="50"/>
      <c r="G16" s="50"/>
      <c r="H16" s="51">
        <f>1794912+269232</f>
        <v>2064144</v>
      </c>
    </row>
    <row r="17" spans="3:8" ht="15.75">
      <c r="C17" s="6" t="s">
        <v>18</v>
      </c>
      <c r="D17" s="6" t="s">
        <v>17</v>
      </c>
      <c r="F17" s="50"/>
      <c r="G17" s="50"/>
      <c r="H17" s="51">
        <f>2160000+108000</f>
        <v>2268000</v>
      </c>
    </row>
    <row r="18" spans="1:8" s="34" customFormat="1" ht="15.75" customHeight="1">
      <c r="A18" s="34" t="s">
        <v>19</v>
      </c>
      <c r="B18" s="34" t="s">
        <v>20</v>
      </c>
      <c r="F18" s="52"/>
      <c r="G18" s="53"/>
      <c r="H18" s="65">
        <f>SUM(H19)</f>
        <v>1317448.08</v>
      </c>
    </row>
    <row r="19" spans="4:11" ht="15.75">
      <c r="D19" s="6" t="s">
        <v>8</v>
      </c>
      <c r="F19" s="50"/>
      <c r="G19" s="50"/>
      <c r="H19" s="51">
        <f>(H11+H15)*0.195</f>
        <v>1317448.08</v>
      </c>
      <c r="K19" s="1" t="s">
        <v>254</v>
      </c>
    </row>
    <row r="20" spans="1:8" s="34" customFormat="1" ht="15.75">
      <c r="A20" s="34" t="s">
        <v>21</v>
      </c>
      <c r="B20" s="34" t="s">
        <v>22</v>
      </c>
      <c r="F20" s="52"/>
      <c r="G20" s="61"/>
      <c r="H20" s="65">
        <f>SUM(H21+H25+H28+H33+H35)</f>
        <v>2785000</v>
      </c>
    </row>
    <row r="21" spans="2:8" ht="15.75">
      <c r="B21" s="6" t="s">
        <v>23</v>
      </c>
      <c r="D21" s="6" t="s">
        <v>1</v>
      </c>
      <c r="F21" s="55"/>
      <c r="G21" s="55"/>
      <c r="H21" s="58">
        <f>SUM(H22+H24)</f>
        <v>340000</v>
      </c>
    </row>
    <row r="22" spans="3:8" ht="15.75">
      <c r="C22" s="6" t="s">
        <v>24</v>
      </c>
      <c r="D22" s="6" t="s">
        <v>25</v>
      </c>
      <c r="F22" s="55"/>
      <c r="G22" s="55"/>
      <c r="H22" s="51">
        <f>SUM(H23)</f>
        <v>20000</v>
      </c>
    </row>
    <row r="23" spans="6:8" ht="15.75">
      <c r="F23" s="55" t="s">
        <v>194</v>
      </c>
      <c r="G23" s="55"/>
      <c r="H23" s="51">
        <v>20000</v>
      </c>
    </row>
    <row r="24" spans="3:8" ht="15.75">
      <c r="C24" s="6" t="s">
        <v>26</v>
      </c>
      <c r="D24" s="6" t="s">
        <v>27</v>
      </c>
      <c r="F24" s="50"/>
      <c r="G24" s="50"/>
      <c r="H24" s="51">
        <v>320000</v>
      </c>
    </row>
    <row r="25" spans="2:8" ht="15.75">
      <c r="B25" s="6" t="s">
        <v>28</v>
      </c>
      <c r="D25" s="6" t="s">
        <v>29</v>
      </c>
      <c r="F25" s="50"/>
      <c r="G25" s="50"/>
      <c r="H25" s="58">
        <f>SUM(H26+H27)</f>
        <v>390000</v>
      </c>
    </row>
    <row r="26" spans="3:8" ht="15.75">
      <c r="C26" s="6" t="s">
        <v>30</v>
      </c>
      <c r="D26" s="6" t="s">
        <v>31</v>
      </c>
      <c r="F26" s="50"/>
      <c r="G26" s="50"/>
      <c r="H26" s="51">
        <v>330000</v>
      </c>
    </row>
    <row r="27" spans="3:8" ht="15.75">
      <c r="C27" s="6" t="s">
        <v>32</v>
      </c>
      <c r="D27" s="6" t="s">
        <v>33</v>
      </c>
      <c r="F27" s="50"/>
      <c r="G27" s="50"/>
      <c r="H27" s="51">
        <v>60000</v>
      </c>
    </row>
    <row r="28" spans="2:8" ht="15.75">
      <c r="B28" s="6" t="s">
        <v>34</v>
      </c>
      <c r="D28" s="6" t="s">
        <v>35</v>
      </c>
      <c r="F28" s="50"/>
      <c r="G28" s="50"/>
      <c r="H28" s="58">
        <f>SUM(H29+H30+H31)</f>
        <v>1770000</v>
      </c>
    </row>
    <row r="29" spans="3:8" ht="15.75">
      <c r="C29" s="6" t="s">
        <v>36</v>
      </c>
      <c r="D29" s="6" t="s">
        <v>37</v>
      </c>
      <c r="F29" s="50"/>
      <c r="G29" s="50"/>
      <c r="H29" s="51">
        <v>270000</v>
      </c>
    </row>
    <row r="30" spans="3:8" ht="15.75">
      <c r="C30" s="6" t="s">
        <v>39</v>
      </c>
      <c r="D30" s="6" t="s">
        <v>2</v>
      </c>
      <c r="F30" s="50"/>
      <c r="G30" s="50"/>
      <c r="H30" s="51">
        <v>1000000</v>
      </c>
    </row>
    <row r="31" spans="3:8" ht="15.75">
      <c r="C31" s="6" t="s">
        <v>40</v>
      </c>
      <c r="D31" s="6" t="s">
        <v>41</v>
      </c>
      <c r="F31" s="50"/>
      <c r="G31" s="50"/>
      <c r="H31" s="51">
        <v>500000</v>
      </c>
    </row>
    <row r="32" spans="6:8" ht="15.75">
      <c r="F32" s="50" t="s">
        <v>202</v>
      </c>
      <c r="G32" s="50"/>
      <c r="H32" s="56">
        <v>130000</v>
      </c>
    </row>
    <row r="33" spans="2:8" ht="15.75">
      <c r="B33" s="6" t="s">
        <v>135</v>
      </c>
      <c r="D33" s="6" t="s">
        <v>136</v>
      </c>
      <c r="E33" s="50"/>
      <c r="F33" s="50"/>
      <c r="G33" s="82"/>
      <c r="H33" s="181">
        <v>25000</v>
      </c>
    </row>
    <row r="34" spans="3:8" ht="15.75">
      <c r="C34" s="6" t="s">
        <v>137</v>
      </c>
      <c r="D34" s="6" t="s">
        <v>138</v>
      </c>
      <c r="E34" s="50"/>
      <c r="F34" s="50"/>
      <c r="G34" s="81"/>
      <c r="H34" s="179">
        <v>25000</v>
      </c>
    </row>
    <row r="35" spans="2:8" ht="15.75">
      <c r="B35" s="6" t="s">
        <v>42</v>
      </c>
      <c r="D35" s="6" t="s">
        <v>43</v>
      </c>
      <c r="F35" s="50"/>
      <c r="G35" s="50"/>
      <c r="H35" s="76">
        <f>SUM(H36:H37)</f>
        <v>260000</v>
      </c>
    </row>
    <row r="36" spans="3:8" ht="15.75">
      <c r="C36" s="6" t="s">
        <v>44</v>
      </c>
      <c r="D36" s="6" t="s">
        <v>45</v>
      </c>
      <c r="F36" s="50"/>
      <c r="G36" s="50"/>
      <c r="H36" s="51">
        <v>250000</v>
      </c>
    </row>
    <row r="37" spans="3:8" ht="15.75">
      <c r="C37" s="6" t="s">
        <v>238</v>
      </c>
      <c r="D37" s="6" t="s">
        <v>239</v>
      </c>
      <c r="F37" s="50"/>
      <c r="G37" s="50"/>
      <c r="H37" s="51">
        <v>10000</v>
      </c>
    </row>
    <row r="38" spans="1:8" s="34" customFormat="1" ht="15.75">
      <c r="A38" s="34" t="s">
        <v>46</v>
      </c>
      <c r="B38" s="34" t="s">
        <v>47</v>
      </c>
      <c r="F38" s="52"/>
      <c r="G38" s="61"/>
      <c r="H38" s="65">
        <f>SUM(H39+H45+H44)</f>
        <v>18170187</v>
      </c>
    </row>
    <row r="39" spans="3:8" ht="15.75">
      <c r="C39" s="6" t="s">
        <v>48</v>
      </c>
      <c r="D39" s="6" t="s">
        <v>49</v>
      </c>
      <c r="F39" s="50"/>
      <c r="G39" s="50"/>
      <c r="H39" s="58">
        <f>SUM(H40:H43)</f>
        <v>4367655</v>
      </c>
    </row>
    <row r="40" spans="6:8" ht="31.5" customHeight="1">
      <c r="F40" s="92" t="s">
        <v>7</v>
      </c>
      <c r="G40" s="92"/>
      <c r="H40" s="232">
        <v>4094072</v>
      </c>
    </row>
    <row r="41" spans="6:8" ht="16.5" customHeight="1">
      <c r="F41" s="92" t="s">
        <v>253</v>
      </c>
      <c r="G41" s="92"/>
      <c r="H41" s="232">
        <v>144687</v>
      </c>
    </row>
    <row r="42" spans="6:8" ht="15.75">
      <c r="F42" s="50" t="s">
        <v>221</v>
      </c>
      <c r="G42" s="91"/>
      <c r="H42" s="51">
        <v>66232</v>
      </c>
    </row>
    <row r="43" spans="6:8" ht="15.75">
      <c r="F43" s="50" t="s">
        <v>207</v>
      </c>
      <c r="G43" s="50"/>
      <c r="H43" s="51">
        <f>36947+25717</f>
        <v>62664</v>
      </c>
    </row>
    <row r="44" spans="3:8" ht="15.75">
      <c r="C44" s="6" t="s">
        <v>240</v>
      </c>
      <c r="D44" s="6" t="s">
        <v>241</v>
      </c>
      <c r="F44" s="50"/>
      <c r="G44" s="91"/>
      <c r="H44" s="51">
        <v>150000</v>
      </c>
    </row>
    <row r="45" spans="3:10" ht="15.75">
      <c r="C45" s="6" t="s">
        <v>215</v>
      </c>
      <c r="D45" s="6" t="s">
        <v>50</v>
      </c>
      <c r="F45" s="50"/>
      <c r="G45" s="50"/>
      <c r="H45" s="211">
        <v>13652532</v>
      </c>
      <c r="J45" s="219"/>
    </row>
    <row r="46" spans="1:8" s="34" customFormat="1" ht="33" customHeight="1">
      <c r="A46" s="39" t="s">
        <v>230</v>
      </c>
      <c r="B46" s="63"/>
      <c r="C46" s="63"/>
      <c r="D46" s="63"/>
      <c r="E46" s="63"/>
      <c r="F46" s="64"/>
      <c r="G46" s="64"/>
      <c r="H46" s="60">
        <f>SUM(H47)</f>
        <v>3363804</v>
      </c>
    </row>
    <row r="47" spans="1:8" s="34" customFormat="1" ht="15.75">
      <c r="A47" s="34" t="s">
        <v>64</v>
      </c>
      <c r="B47" s="32" t="s">
        <v>52</v>
      </c>
      <c r="C47" s="32"/>
      <c r="D47" s="32"/>
      <c r="E47" s="32"/>
      <c r="F47" s="61"/>
      <c r="G47" s="61"/>
      <c r="H47" s="65">
        <f>SUM(H48)</f>
        <v>3363804</v>
      </c>
    </row>
    <row r="48" spans="3:8" ht="15.75">
      <c r="C48" s="6" t="s">
        <v>209</v>
      </c>
      <c r="D48" s="6" t="s">
        <v>210</v>
      </c>
      <c r="F48" s="50"/>
      <c r="G48" s="50"/>
      <c r="H48" s="51">
        <v>3363804</v>
      </c>
    </row>
    <row r="49" spans="1:8" ht="32.25" customHeight="1">
      <c r="A49" s="237" t="s">
        <v>63</v>
      </c>
      <c r="B49" s="238"/>
      <c r="C49" s="238"/>
      <c r="D49" s="238"/>
      <c r="E49" s="238"/>
      <c r="F49" s="246"/>
      <c r="G49" s="90"/>
      <c r="H49" s="60">
        <f>SUM(H50)</f>
        <v>25161134</v>
      </c>
    </row>
    <row r="50" spans="1:8" s="34" customFormat="1" ht="15.75">
      <c r="A50" s="34" t="s">
        <v>64</v>
      </c>
      <c r="B50" s="34" t="s">
        <v>52</v>
      </c>
      <c r="F50" s="52"/>
      <c r="G50" s="61"/>
      <c r="H50" s="65">
        <f>SUM(H51,H53)</f>
        <v>25161134</v>
      </c>
    </row>
    <row r="51" spans="2:8" ht="15.75">
      <c r="B51" s="6" t="s">
        <v>53</v>
      </c>
      <c r="C51" s="6" t="s">
        <v>54</v>
      </c>
      <c r="F51" s="50"/>
      <c r="G51" s="50"/>
      <c r="H51" s="51">
        <f>SUM(H52)</f>
        <v>23690804</v>
      </c>
    </row>
    <row r="52" spans="3:8" ht="15.75">
      <c r="C52" s="6" t="s">
        <v>55</v>
      </c>
      <c r="D52" s="6" t="s">
        <v>65</v>
      </c>
      <c r="F52" s="50"/>
      <c r="G52" s="50"/>
      <c r="H52" s="51">
        <f>'11.Idősek Otthona bevétel'!F20</f>
        <v>23690804</v>
      </c>
    </row>
    <row r="53" spans="1:8" ht="15.75">
      <c r="A53" s="34" t="s">
        <v>46</v>
      </c>
      <c r="B53" s="34" t="s">
        <v>47</v>
      </c>
      <c r="C53" s="34"/>
      <c r="D53" s="34"/>
      <c r="E53" s="34"/>
      <c r="F53" s="52"/>
      <c r="G53" s="50"/>
      <c r="H53" s="58">
        <f>H54</f>
        <v>1470330</v>
      </c>
    </row>
    <row r="54" spans="3:8" ht="15.75">
      <c r="C54" s="6" t="s">
        <v>48</v>
      </c>
      <c r="D54" s="6" t="s">
        <v>49</v>
      </c>
      <c r="F54" s="50"/>
      <c r="G54" s="50"/>
      <c r="H54" s="51">
        <f>H55+H56</f>
        <v>1470330</v>
      </c>
    </row>
    <row r="55" spans="6:8" ht="15.75">
      <c r="F55" s="50" t="s">
        <v>304</v>
      </c>
      <c r="G55" s="50"/>
      <c r="H55" s="51">
        <v>1143172</v>
      </c>
    </row>
    <row r="56" spans="6:8" ht="15.75">
      <c r="F56" s="50" t="s">
        <v>305</v>
      </c>
      <c r="G56" s="50"/>
      <c r="H56" s="51">
        <v>327158</v>
      </c>
    </row>
    <row r="57" spans="1:8" ht="32.25" customHeight="1">
      <c r="A57" s="237" t="s">
        <v>66</v>
      </c>
      <c r="B57" s="238"/>
      <c r="C57" s="238"/>
      <c r="D57" s="238"/>
      <c r="E57" s="238"/>
      <c r="F57" s="246"/>
      <c r="G57" s="59"/>
      <c r="H57" s="60">
        <f>SUM(H63+H77+H58+H61+H73)</f>
        <v>5243000</v>
      </c>
    </row>
    <row r="58" spans="1:9" s="34" customFormat="1" ht="15.75">
      <c r="A58" s="34" t="s">
        <v>11</v>
      </c>
      <c r="B58" s="32" t="s">
        <v>3</v>
      </c>
      <c r="C58" s="32"/>
      <c r="D58" s="32"/>
      <c r="E58" s="32"/>
      <c r="F58" s="61"/>
      <c r="G58" s="61"/>
      <c r="H58" s="65">
        <f>SUM(H59)</f>
        <v>343000</v>
      </c>
      <c r="I58" s="1"/>
    </row>
    <row r="59" spans="2:8" ht="15.75">
      <c r="B59" s="6" t="s">
        <v>16</v>
      </c>
      <c r="D59" s="6" t="s">
        <v>0</v>
      </c>
      <c r="F59" s="50"/>
      <c r="G59" s="50"/>
      <c r="H59" s="58">
        <f>SUM(H60)</f>
        <v>343000</v>
      </c>
    </row>
    <row r="60" spans="3:8" ht="15.75">
      <c r="C60" s="6" t="s">
        <v>244</v>
      </c>
      <c r="D60" s="6" t="s">
        <v>245</v>
      </c>
      <c r="F60" s="50"/>
      <c r="G60" s="50"/>
      <c r="H60" s="51">
        <f>6860*50</f>
        <v>343000</v>
      </c>
    </row>
    <row r="61" spans="1:8" s="34" customFormat="1" ht="15.75" customHeight="1">
      <c r="A61" s="34" t="s">
        <v>19</v>
      </c>
      <c r="B61" s="34" t="s">
        <v>20</v>
      </c>
      <c r="F61" s="52"/>
      <c r="G61" s="53"/>
      <c r="H61" s="65">
        <f>SUM(H62)</f>
        <v>50000</v>
      </c>
    </row>
    <row r="62" spans="4:8" ht="15.75">
      <c r="D62" s="6" t="s">
        <v>246</v>
      </c>
      <c r="F62" s="50"/>
      <c r="G62" s="50"/>
      <c r="H62" s="51">
        <f>1000*50</f>
        <v>50000</v>
      </c>
    </row>
    <row r="63" spans="1:8" s="34" customFormat="1" ht="15.75">
      <c r="A63" s="34" t="s">
        <v>21</v>
      </c>
      <c r="B63" s="34" t="s">
        <v>22</v>
      </c>
      <c r="F63" s="52"/>
      <c r="G63" s="61"/>
      <c r="H63" s="54">
        <f>SUM(H64+H66+H71)</f>
        <v>2350000</v>
      </c>
    </row>
    <row r="64" spans="1:8" ht="15.75">
      <c r="A64" s="1" t="s">
        <v>254</v>
      </c>
      <c r="B64" s="6" t="s">
        <v>23</v>
      </c>
      <c r="D64" s="6" t="s">
        <v>1</v>
      </c>
      <c r="F64" s="55"/>
      <c r="G64" s="55"/>
      <c r="H64" s="62">
        <f>SUM(H65)</f>
        <v>700000</v>
      </c>
    </row>
    <row r="65" spans="3:8" ht="15.75">
      <c r="C65" s="6" t="s">
        <v>26</v>
      </c>
      <c r="D65" s="6" t="s">
        <v>27</v>
      </c>
      <c r="F65" s="50"/>
      <c r="G65" s="50"/>
      <c r="H65" s="51">
        <v>700000</v>
      </c>
    </row>
    <row r="66" spans="2:8" ht="15.75">
      <c r="B66" s="6" t="s">
        <v>34</v>
      </c>
      <c r="D66" s="6" t="s">
        <v>35</v>
      </c>
      <c r="F66" s="50"/>
      <c r="G66" s="50"/>
      <c r="H66" s="62">
        <f>SUM(H67+H68+H69)</f>
        <v>1150000</v>
      </c>
    </row>
    <row r="67" spans="3:8" ht="15.75">
      <c r="C67" s="6" t="s">
        <v>36</v>
      </c>
      <c r="D67" s="6" t="s">
        <v>37</v>
      </c>
      <c r="F67" s="50"/>
      <c r="G67" s="50"/>
      <c r="H67" s="51">
        <v>50000</v>
      </c>
    </row>
    <row r="68" spans="3:8" ht="15.75">
      <c r="C68" s="6" t="s">
        <v>39</v>
      </c>
      <c r="D68" s="6" t="s">
        <v>2</v>
      </c>
      <c r="F68" s="50"/>
      <c r="G68" s="50"/>
      <c r="H68" s="56">
        <v>500000</v>
      </c>
    </row>
    <row r="69" spans="3:8" ht="15.75">
      <c r="C69" s="6" t="s">
        <v>40</v>
      </c>
      <c r="D69" s="6" t="s">
        <v>41</v>
      </c>
      <c r="F69" s="50"/>
      <c r="G69" s="50"/>
      <c r="H69" s="51">
        <f>H70</f>
        <v>600000</v>
      </c>
    </row>
    <row r="70" spans="6:8" ht="15.75">
      <c r="F70" s="50" t="s">
        <v>203</v>
      </c>
      <c r="G70" s="50"/>
      <c r="H70" s="56">
        <v>600000</v>
      </c>
    </row>
    <row r="71" spans="2:8" ht="15.75">
      <c r="B71" s="6" t="s">
        <v>42</v>
      </c>
      <c r="D71" s="6" t="s">
        <v>43</v>
      </c>
      <c r="F71" s="50"/>
      <c r="G71" s="50"/>
      <c r="H71" s="62">
        <f>SUM(H72)</f>
        <v>500000</v>
      </c>
    </row>
    <row r="72" spans="3:8" ht="15.75">
      <c r="C72" s="6" t="s">
        <v>44</v>
      </c>
      <c r="D72" s="6" t="s">
        <v>45</v>
      </c>
      <c r="F72" s="50"/>
      <c r="G72" s="50"/>
      <c r="H72" s="56">
        <v>500000</v>
      </c>
    </row>
    <row r="73" spans="1:8" ht="15.75">
      <c r="A73" s="34" t="s">
        <v>160</v>
      </c>
      <c r="B73" s="32" t="s">
        <v>161</v>
      </c>
      <c r="F73" s="69"/>
      <c r="G73" s="69"/>
      <c r="H73" s="70">
        <f>SUM(H74:H76)</f>
        <v>1500000</v>
      </c>
    </row>
    <row r="74" spans="2:8" ht="15.75">
      <c r="B74" s="6" t="s">
        <v>248</v>
      </c>
      <c r="D74" s="6" t="s">
        <v>249</v>
      </c>
      <c r="F74" s="69"/>
      <c r="G74" s="69"/>
      <c r="H74" s="71">
        <v>0</v>
      </c>
    </row>
    <row r="75" spans="2:8" ht="15.75">
      <c r="B75" s="6" t="s">
        <v>269</v>
      </c>
      <c r="C75" s="34"/>
      <c r="D75" s="6" t="s">
        <v>311</v>
      </c>
      <c r="E75" s="34"/>
      <c r="F75" s="177"/>
      <c r="G75" s="71"/>
      <c r="H75" s="71">
        <v>1180000</v>
      </c>
    </row>
    <row r="76" spans="2:10" ht="15.75">
      <c r="B76" s="6" t="s">
        <v>242</v>
      </c>
      <c r="D76" s="6" t="s">
        <v>250</v>
      </c>
      <c r="F76" s="69"/>
      <c r="G76" s="69"/>
      <c r="H76" s="71">
        <v>320000</v>
      </c>
      <c r="J76" s="34"/>
    </row>
    <row r="77" spans="1:8" s="34" customFormat="1" ht="15.75">
      <c r="A77" s="34" t="s">
        <v>140</v>
      </c>
      <c r="B77" s="34" t="s">
        <v>141</v>
      </c>
      <c r="F77" s="72"/>
      <c r="G77" s="73"/>
      <c r="H77" s="70">
        <f>SUM(H78:H79)</f>
        <v>1000000</v>
      </c>
    </row>
    <row r="78" spans="2:8" ht="15.75">
      <c r="B78" s="6" t="s">
        <v>222</v>
      </c>
      <c r="D78" s="6" t="s">
        <v>317</v>
      </c>
      <c r="F78" s="69"/>
      <c r="G78" s="74"/>
      <c r="H78" s="71">
        <v>785000</v>
      </c>
    </row>
    <row r="79" spans="2:8" ht="15.75">
      <c r="B79" s="6" t="s">
        <v>224</v>
      </c>
      <c r="D79" s="6" t="s">
        <v>225</v>
      </c>
      <c r="F79" s="69"/>
      <c r="G79" s="74"/>
      <c r="H79" s="71">
        <v>215000</v>
      </c>
    </row>
    <row r="80" spans="1:8" s="34" customFormat="1" ht="30" customHeight="1">
      <c r="A80" s="39" t="s">
        <v>206</v>
      </c>
      <c r="B80" s="66"/>
      <c r="C80" s="66"/>
      <c r="D80" s="66"/>
      <c r="E80" s="66"/>
      <c r="F80" s="67"/>
      <c r="G80" s="67"/>
      <c r="H80" s="60">
        <f>SUM(H81)</f>
        <v>403606</v>
      </c>
    </row>
    <row r="81" spans="1:8" s="34" customFormat="1" ht="15.75">
      <c r="A81" s="34" t="s">
        <v>46</v>
      </c>
      <c r="B81" s="34" t="s">
        <v>47</v>
      </c>
      <c r="F81" s="52"/>
      <c r="G81" s="61"/>
      <c r="H81" s="65">
        <f>SUM(H82)</f>
        <v>403606</v>
      </c>
    </row>
    <row r="82" spans="3:8" ht="15.75">
      <c r="C82" s="6" t="s">
        <v>48</v>
      </c>
      <c r="D82" s="6" t="s">
        <v>49</v>
      </c>
      <c r="F82" s="50"/>
      <c r="G82" s="50"/>
      <c r="H82" s="51">
        <f>H83</f>
        <v>403606</v>
      </c>
    </row>
    <row r="83" spans="6:8" ht="15.75">
      <c r="F83" s="50" t="s">
        <v>221</v>
      </c>
      <c r="G83" s="50"/>
      <c r="H83" s="51">
        <v>403606</v>
      </c>
    </row>
    <row r="84" spans="1:8" ht="32.25" customHeight="1">
      <c r="A84" s="237" t="s">
        <v>67</v>
      </c>
      <c r="B84" s="238"/>
      <c r="C84" s="238"/>
      <c r="D84" s="238"/>
      <c r="E84" s="238"/>
      <c r="F84" s="246"/>
      <c r="G84" s="59"/>
      <c r="H84" s="60">
        <f>SUM(H85,H96)</f>
        <v>890050</v>
      </c>
    </row>
    <row r="85" spans="1:8" s="34" customFormat="1" ht="15.75">
      <c r="A85" s="34" t="s">
        <v>21</v>
      </c>
      <c r="B85" s="34" t="s">
        <v>22</v>
      </c>
      <c r="F85" s="52"/>
      <c r="G85" s="61"/>
      <c r="H85" s="54">
        <f>SUM(H86+H89+H94)</f>
        <v>490000</v>
      </c>
    </row>
    <row r="86" spans="2:8" ht="15.75">
      <c r="B86" s="6" t="s">
        <v>23</v>
      </c>
      <c r="D86" s="6" t="s">
        <v>1</v>
      </c>
      <c r="F86" s="55"/>
      <c r="G86" s="55"/>
      <c r="H86" s="62">
        <f>SUM(H87)</f>
        <v>20000</v>
      </c>
    </row>
    <row r="87" spans="3:8" ht="15.75">
      <c r="C87" s="6" t="s">
        <v>26</v>
      </c>
      <c r="D87" s="6" t="s">
        <v>27</v>
      </c>
      <c r="F87" s="50"/>
      <c r="G87" s="50"/>
      <c r="H87" s="51">
        <f>SUM(H88)</f>
        <v>20000</v>
      </c>
    </row>
    <row r="88" spans="1:8" ht="15.75">
      <c r="A88" s="34"/>
      <c r="B88" s="32"/>
      <c r="C88" s="32"/>
      <c r="D88" s="57"/>
      <c r="E88" s="57"/>
      <c r="F88" s="50" t="s">
        <v>6</v>
      </c>
      <c r="G88" s="50"/>
      <c r="H88" s="56">
        <v>20000</v>
      </c>
    </row>
    <row r="89" spans="2:8" ht="15.75">
      <c r="B89" s="6" t="s">
        <v>34</v>
      </c>
      <c r="D89" s="6" t="s">
        <v>35</v>
      </c>
      <c r="F89" s="50"/>
      <c r="G89" s="50"/>
      <c r="H89" s="62">
        <f>H90+H91+H92</f>
        <v>365000</v>
      </c>
    </row>
    <row r="90" spans="3:8" ht="15.75">
      <c r="C90" s="6" t="s">
        <v>36</v>
      </c>
      <c r="D90" s="6" t="s">
        <v>37</v>
      </c>
      <c r="F90" s="50"/>
      <c r="G90" s="50"/>
      <c r="H90" s="51">
        <v>15000</v>
      </c>
    </row>
    <row r="91" spans="3:8" ht="15.75">
      <c r="C91" s="6" t="s">
        <v>39</v>
      </c>
      <c r="D91" s="6" t="s">
        <v>2</v>
      </c>
      <c r="F91" s="50"/>
      <c r="G91" s="50"/>
      <c r="H91" s="51">
        <v>150000</v>
      </c>
    </row>
    <row r="92" spans="3:8" ht="15.75">
      <c r="C92" s="6" t="s">
        <v>40</v>
      </c>
      <c r="D92" s="6" t="s">
        <v>41</v>
      </c>
      <c r="F92" s="50"/>
      <c r="G92" s="50"/>
      <c r="H92" s="51">
        <v>200000</v>
      </c>
    </row>
    <row r="93" spans="6:8" ht="15.75">
      <c r="F93" s="50" t="s">
        <v>203</v>
      </c>
      <c r="G93" s="50"/>
      <c r="H93" s="56">
        <v>200000</v>
      </c>
    </row>
    <row r="94" spans="2:8" ht="15.75">
      <c r="B94" s="6" t="s">
        <v>42</v>
      </c>
      <c r="D94" s="6" t="s">
        <v>43</v>
      </c>
      <c r="F94" s="50"/>
      <c r="G94" s="50"/>
      <c r="H94" s="62">
        <f>SUM(H95)</f>
        <v>105000</v>
      </c>
    </row>
    <row r="95" spans="3:8" ht="15.75">
      <c r="C95" s="6" t="s">
        <v>44</v>
      </c>
      <c r="D95" s="6" t="s">
        <v>45</v>
      </c>
      <c r="F95" s="50"/>
      <c r="G95" s="50"/>
      <c r="H95" s="51">
        <v>105000</v>
      </c>
    </row>
    <row r="96" spans="1:8" s="34" customFormat="1" ht="15.75">
      <c r="A96" s="34" t="s">
        <v>160</v>
      </c>
      <c r="B96" s="34" t="s">
        <v>161</v>
      </c>
      <c r="F96" s="52"/>
      <c r="G96" s="61"/>
      <c r="H96" s="54">
        <f>SUM(H97:H98)</f>
        <v>400050</v>
      </c>
    </row>
    <row r="97" spans="2:8" ht="15.75">
      <c r="B97" s="6" t="s">
        <v>264</v>
      </c>
      <c r="D97" s="6" t="s">
        <v>265</v>
      </c>
      <c r="F97" s="50"/>
      <c r="G97" s="50"/>
      <c r="H97" s="51">
        <v>315000</v>
      </c>
    </row>
    <row r="98" spans="2:8" ht="15.75">
      <c r="B98" s="6" t="s">
        <v>242</v>
      </c>
      <c r="D98" s="6" t="s">
        <v>250</v>
      </c>
      <c r="F98" s="50"/>
      <c r="G98" s="50"/>
      <c r="H98" s="51">
        <f>H97*0.27</f>
        <v>85050</v>
      </c>
    </row>
    <row r="99" spans="1:8" s="34" customFormat="1" ht="31.5" customHeight="1">
      <c r="A99" s="39" t="s">
        <v>68</v>
      </c>
      <c r="B99" s="63"/>
      <c r="C99" s="63"/>
      <c r="D99" s="63"/>
      <c r="E99" s="63"/>
      <c r="F99" s="64"/>
      <c r="G99" s="64"/>
      <c r="H99" s="68">
        <f>H100+H107</f>
        <v>1315000</v>
      </c>
    </row>
    <row r="100" spans="1:8" s="34" customFormat="1" ht="15.75">
      <c r="A100" s="34" t="s">
        <v>21</v>
      </c>
      <c r="B100" s="34" t="s">
        <v>22</v>
      </c>
      <c r="F100" s="52"/>
      <c r="G100" s="61"/>
      <c r="H100" s="54">
        <f>SUM(H101+H103+H105)</f>
        <v>680000</v>
      </c>
    </row>
    <row r="101" spans="2:8" ht="15.75">
      <c r="B101" s="6" t="s">
        <v>23</v>
      </c>
      <c r="D101" s="6" t="s">
        <v>1</v>
      </c>
      <c r="F101" s="55"/>
      <c r="G101" s="55"/>
      <c r="H101" s="62">
        <f>SUM(H102)</f>
        <v>400000</v>
      </c>
    </row>
    <row r="102" spans="3:8" ht="15.75">
      <c r="C102" s="6" t="s">
        <v>26</v>
      </c>
      <c r="D102" s="6" t="s">
        <v>69</v>
      </c>
      <c r="F102" s="50"/>
      <c r="G102" s="50"/>
      <c r="H102" s="51">
        <v>400000</v>
      </c>
    </row>
    <row r="103" spans="2:8" ht="15.75">
      <c r="B103" s="6" t="s">
        <v>34</v>
      </c>
      <c r="D103" s="6" t="s">
        <v>35</v>
      </c>
      <c r="F103" s="50"/>
      <c r="G103" s="50"/>
      <c r="H103" s="62">
        <f>SUM(H104)</f>
        <v>130000</v>
      </c>
    </row>
    <row r="104" spans="3:8" ht="15.75">
      <c r="C104" s="6" t="s">
        <v>39</v>
      </c>
      <c r="D104" s="6" t="s">
        <v>2</v>
      </c>
      <c r="F104" s="50"/>
      <c r="G104" s="50"/>
      <c r="H104" s="51">
        <v>130000</v>
      </c>
    </row>
    <row r="105" spans="2:8" ht="15.75">
      <c r="B105" s="6" t="s">
        <v>42</v>
      </c>
      <c r="D105" s="6" t="s">
        <v>43</v>
      </c>
      <c r="F105" s="50"/>
      <c r="G105" s="50"/>
      <c r="H105" s="62">
        <f>SUM(H106)</f>
        <v>150000</v>
      </c>
    </row>
    <row r="106" spans="3:8" ht="15.75">
      <c r="C106" s="6" t="s">
        <v>44</v>
      </c>
      <c r="D106" s="6" t="s">
        <v>45</v>
      </c>
      <c r="F106" s="50"/>
      <c r="G106" s="50"/>
      <c r="H106" s="51">
        <v>150000</v>
      </c>
    </row>
    <row r="107" spans="1:8" ht="15.75">
      <c r="A107" s="34" t="s">
        <v>160</v>
      </c>
      <c r="B107" s="32" t="s">
        <v>161</v>
      </c>
      <c r="F107" s="69"/>
      <c r="G107" s="69"/>
      <c r="H107" s="70">
        <f>SUM(H108:H109)</f>
        <v>635000</v>
      </c>
    </row>
    <row r="108" spans="2:8" ht="15.75">
      <c r="B108" s="6" t="s">
        <v>269</v>
      </c>
      <c r="C108" s="34"/>
      <c r="D108" s="6" t="s">
        <v>311</v>
      </c>
      <c r="E108" s="34"/>
      <c r="F108" s="177"/>
      <c r="G108" s="71"/>
      <c r="H108" s="71">
        <v>500000</v>
      </c>
    </row>
    <row r="109" spans="2:10" ht="15.75">
      <c r="B109" s="6" t="s">
        <v>242</v>
      </c>
      <c r="D109" s="6" t="s">
        <v>250</v>
      </c>
      <c r="F109" s="69"/>
      <c r="G109" s="69"/>
      <c r="H109" s="71">
        <f>H108*0.27</f>
        <v>135000</v>
      </c>
      <c r="J109" s="34"/>
    </row>
    <row r="110" spans="1:8" s="34" customFormat="1" ht="32.25" customHeight="1">
      <c r="A110" s="250" t="s">
        <v>70</v>
      </c>
      <c r="B110" s="250"/>
      <c r="C110" s="250"/>
      <c r="D110" s="250"/>
      <c r="E110" s="250"/>
      <c r="F110" s="251"/>
      <c r="G110" s="64"/>
      <c r="H110" s="68">
        <f>SUM(H111)</f>
        <v>762000</v>
      </c>
    </row>
    <row r="111" spans="1:8" s="34" customFormat="1" ht="15.75">
      <c r="A111" s="34" t="s">
        <v>21</v>
      </c>
      <c r="B111" s="34" t="s">
        <v>22</v>
      </c>
      <c r="F111" s="52"/>
      <c r="G111" s="61"/>
      <c r="H111" s="54">
        <f>SUM(H112+H115)</f>
        <v>762000</v>
      </c>
    </row>
    <row r="112" spans="2:8" ht="15.75">
      <c r="B112" s="6" t="s">
        <v>34</v>
      </c>
      <c r="D112" s="6" t="s">
        <v>35</v>
      </c>
      <c r="F112" s="50"/>
      <c r="G112" s="50"/>
      <c r="H112" s="62">
        <f>SUM(H113)</f>
        <v>600000</v>
      </c>
    </row>
    <row r="113" spans="3:8" ht="15.75">
      <c r="C113" s="6" t="s">
        <v>36</v>
      </c>
      <c r="D113" s="6" t="s">
        <v>37</v>
      </c>
      <c r="F113" s="50"/>
      <c r="G113" s="50"/>
      <c r="H113" s="51">
        <f>SUM(H114)</f>
        <v>600000</v>
      </c>
    </row>
    <row r="114" spans="6:8" ht="15.75">
      <c r="F114" s="50" t="s">
        <v>38</v>
      </c>
      <c r="G114" s="50"/>
      <c r="H114" s="51">
        <v>600000</v>
      </c>
    </row>
    <row r="115" spans="2:8" ht="15.75">
      <c r="B115" s="6" t="s">
        <v>42</v>
      </c>
      <c r="D115" s="6" t="s">
        <v>43</v>
      </c>
      <c r="F115" s="50"/>
      <c r="G115" s="50"/>
      <c r="H115" s="58">
        <f>SUM(H116)</f>
        <v>162000</v>
      </c>
    </row>
    <row r="116" spans="3:8" ht="15.75">
      <c r="C116" s="6" t="s">
        <v>44</v>
      </c>
      <c r="D116" s="6" t="s">
        <v>45</v>
      </c>
      <c r="F116" s="50"/>
      <c r="G116" s="50"/>
      <c r="H116" s="51">
        <f>H113*0.27</f>
        <v>162000</v>
      </c>
    </row>
    <row r="117" spans="1:8" s="34" customFormat="1" ht="31.5" customHeight="1">
      <c r="A117" s="39" t="s">
        <v>71</v>
      </c>
      <c r="B117" s="101"/>
      <c r="C117" s="101"/>
      <c r="D117" s="101"/>
      <c r="E117" s="101"/>
      <c r="F117" s="102"/>
      <c r="G117" s="94">
        <v>1</v>
      </c>
      <c r="H117" s="68">
        <f>SUM(H118+H123+H125)</f>
        <v>4432000</v>
      </c>
    </row>
    <row r="118" spans="1:8" s="34" customFormat="1" ht="15.75">
      <c r="A118" s="34" t="s">
        <v>11</v>
      </c>
      <c r="B118" s="34" t="s">
        <v>3</v>
      </c>
      <c r="F118" s="52"/>
      <c r="G118" s="61"/>
      <c r="H118" s="65">
        <f>SUM(H119)</f>
        <v>2782000</v>
      </c>
    </row>
    <row r="119" spans="2:8" ht="15.75">
      <c r="B119" s="6" t="s">
        <v>12</v>
      </c>
      <c r="D119" s="6" t="s">
        <v>13</v>
      </c>
      <c r="F119" s="50"/>
      <c r="G119" s="50"/>
      <c r="H119" s="62">
        <f>SUM(H120:H122)</f>
        <v>2782000</v>
      </c>
    </row>
    <row r="120" spans="3:8" ht="15.75">
      <c r="C120" s="6" t="s">
        <v>14</v>
      </c>
      <c r="D120" s="6" t="s">
        <v>15</v>
      </c>
      <c r="F120" s="50"/>
      <c r="G120" s="50"/>
      <c r="H120" s="51">
        <v>2762000</v>
      </c>
    </row>
    <row r="121" spans="3:8" ht="15.75">
      <c r="C121" s="6" t="s">
        <v>278</v>
      </c>
      <c r="D121" s="6" t="s">
        <v>279</v>
      </c>
      <c r="F121" s="50"/>
      <c r="G121" s="50"/>
      <c r="H121" s="51">
        <v>0</v>
      </c>
    </row>
    <row r="122" spans="3:8" ht="15.75">
      <c r="C122" s="6" t="s">
        <v>195</v>
      </c>
      <c r="D122" s="6" t="s">
        <v>193</v>
      </c>
      <c r="F122" s="50"/>
      <c r="G122" s="50"/>
      <c r="H122" s="51">
        <v>20000</v>
      </c>
    </row>
    <row r="123" spans="1:8" s="34" customFormat="1" ht="15.75" customHeight="1">
      <c r="A123" s="34" t="s">
        <v>19</v>
      </c>
      <c r="B123" s="34" t="s">
        <v>20</v>
      </c>
      <c r="F123" s="52"/>
      <c r="G123" s="53"/>
      <c r="H123" s="54">
        <f>SUM(H124)</f>
        <v>550000</v>
      </c>
    </row>
    <row r="124" spans="4:8" ht="15.75">
      <c r="D124" s="6" t="s">
        <v>8</v>
      </c>
      <c r="F124" s="50"/>
      <c r="G124" s="50"/>
      <c r="H124" s="51">
        <v>550000</v>
      </c>
    </row>
    <row r="125" spans="1:8" s="34" customFormat="1" ht="15.75">
      <c r="A125" s="34" t="s">
        <v>21</v>
      </c>
      <c r="B125" s="34" t="s">
        <v>22</v>
      </c>
      <c r="F125" s="52"/>
      <c r="G125" s="61"/>
      <c r="H125" s="54">
        <f>SUM(H126+H128+H133)</f>
        <v>1100000</v>
      </c>
    </row>
    <row r="126" spans="2:8" ht="15.75">
      <c r="B126" s="6" t="s">
        <v>23</v>
      </c>
      <c r="D126" s="6" t="s">
        <v>1</v>
      </c>
      <c r="F126" s="55"/>
      <c r="G126" s="55"/>
      <c r="H126" s="62">
        <f>SUM(H127:H127)</f>
        <v>450000</v>
      </c>
    </row>
    <row r="127" spans="3:8" ht="15.75">
      <c r="C127" s="6" t="s">
        <v>26</v>
      </c>
      <c r="D127" s="6" t="s">
        <v>69</v>
      </c>
      <c r="F127" s="50"/>
      <c r="G127" s="50"/>
      <c r="H127" s="51">
        <v>450000</v>
      </c>
    </row>
    <row r="128" spans="2:8" ht="15.75">
      <c r="B128" s="6" t="s">
        <v>34</v>
      </c>
      <c r="D128" s="6" t="s">
        <v>35</v>
      </c>
      <c r="F128" s="50"/>
      <c r="G128" s="50"/>
      <c r="H128" s="62">
        <f>SUM(H129+H130)</f>
        <v>400000</v>
      </c>
    </row>
    <row r="129" spans="3:8" ht="15.75">
      <c r="C129" s="6" t="s">
        <v>39</v>
      </c>
      <c r="D129" s="6" t="s">
        <v>2</v>
      </c>
      <c r="F129" s="50"/>
      <c r="G129" s="50"/>
      <c r="H129" s="51">
        <v>100000</v>
      </c>
    </row>
    <row r="130" spans="3:8" ht="15.75">
      <c r="C130" s="6" t="s">
        <v>40</v>
      </c>
      <c r="D130" s="6" t="s">
        <v>41</v>
      </c>
      <c r="F130" s="50"/>
      <c r="G130" s="50"/>
      <c r="H130" s="51">
        <f>SUM(H131:H132)</f>
        <v>300000</v>
      </c>
    </row>
    <row r="131" spans="6:8" ht="15.75">
      <c r="F131" s="50" t="s">
        <v>203</v>
      </c>
      <c r="G131" s="50"/>
      <c r="H131" s="56">
        <v>100000</v>
      </c>
    </row>
    <row r="132" spans="6:8" ht="15.75">
      <c r="F132" s="50" t="s">
        <v>202</v>
      </c>
      <c r="G132" s="50"/>
      <c r="H132" s="56">
        <v>200000</v>
      </c>
    </row>
    <row r="133" spans="2:8" ht="15.75">
      <c r="B133" s="6" t="s">
        <v>42</v>
      </c>
      <c r="D133" s="6" t="s">
        <v>43</v>
      </c>
      <c r="F133" s="50"/>
      <c r="G133" s="50"/>
      <c r="H133" s="62">
        <f>SUM(H134)</f>
        <v>250000</v>
      </c>
    </row>
    <row r="134" spans="3:8" ht="15.75">
      <c r="C134" s="6" t="s">
        <v>44</v>
      </c>
      <c r="D134" s="6" t="s">
        <v>45</v>
      </c>
      <c r="F134" s="50"/>
      <c r="G134" s="50"/>
      <c r="H134" s="56">
        <v>250000</v>
      </c>
    </row>
    <row r="135" spans="1:8" s="34" customFormat="1" ht="33" customHeight="1">
      <c r="A135" s="39" t="s">
        <v>72</v>
      </c>
      <c r="B135" s="66"/>
      <c r="C135" s="66"/>
      <c r="D135" s="66"/>
      <c r="E135" s="66"/>
      <c r="F135" s="67"/>
      <c r="G135" s="94">
        <v>4</v>
      </c>
      <c r="H135" s="60">
        <f>SUM(H136+H140)</f>
        <v>4349875.4</v>
      </c>
    </row>
    <row r="136" spans="1:8" s="34" customFormat="1" ht="15.75">
      <c r="A136" s="34" t="s">
        <v>11</v>
      </c>
      <c r="B136" s="32" t="s">
        <v>3</v>
      </c>
      <c r="C136" s="32"/>
      <c r="D136" s="32"/>
      <c r="E136" s="32"/>
      <c r="F136" s="61"/>
      <c r="G136" s="61"/>
      <c r="H136" s="65">
        <f>SUM(H137)</f>
        <v>3963440</v>
      </c>
    </row>
    <row r="137" spans="2:8" ht="15.75">
      <c r="B137" s="6" t="s">
        <v>12</v>
      </c>
      <c r="D137" s="6" t="s">
        <v>13</v>
      </c>
      <c r="F137" s="50"/>
      <c r="G137" s="50"/>
      <c r="H137" s="58">
        <f>SUM(H138:H139)</f>
        <v>3963440</v>
      </c>
    </row>
    <row r="138" spans="3:8" ht="15.75">
      <c r="C138" s="6" t="s">
        <v>14</v>
      </c>
      <c r="D138" s="6" t="s">
        <v>15</v>
      </c>
      <c r="F138" s="50"/>
      <c r="G138" s="50"/>
      <c r="H138" s="51">
        <f>81530*4*12</f>
        <v>3913440</v>
      </c>
    </row>
    <row r="139" spans="3:8" ht="15.75">
      <c r="C139" s="6" t="s">
        <v>195</v>
      </c>
      <c r="D139" s="6" t="s">
        <v>193</v>
      </c>
      <c r="F139" s="50"/>
      <c r="G139" s="50"/>
      <c r="H139" s="51">
        <v>50000</v>
      </c>
    </row>
    <row r="140" spans="1:8" s="34" customFormat="1" ht="15.75" customHeight="1">
      <c r="A140" s="34" t="s">
        <v>19</v>
      </c>
      <c r="B140" s="34" t="s">
        <v>20</v>
      </c>
      <c r="F140" s="52"/>
      <c r="G140" s="53"/>
      <c r="H140" s="65">
        <f>SUM(H141)</f>
        <v>386435.4</v>
      </c>
    </row>
    <row r="141" spans="4:8" ht="15.75">
      <c r="D141" s="6" t="s">
        <v>8</v>
      </c>
      <c r="F141" s="50"/>
      <c r="G141" s="50"/>
      <c r="H141" s="51">
        <f>H137*0.195/2</f>
        <v>386435.4</v>
      </c>
    </row>
    <row r="142" spans="1:8" s="34" customFormat="1" ht="19.5" customHeight="1">
      <c r="A142" s="39" t="s">
        <v>208</v>
      </c>
      <c r="B142" s="66"/>
      <c r="C142" s="66"/>
      <c r="D142" s="66"/>
      <c r="E142" s="66"/>
      <c r="F142" s="67"/>
      <c r="G142" s="67"/>
      <c r="H142" s="60">
        <f>SUM(H143)</f>
        <v>147170</v>
      </c>
    </row>
    <row r="143" spans="1:8" s="34" customFormat="1" ht="15.75">
      <c r="A143" s="34" t="s">
        <v>46</v>
      </c>
      <c r="B143" s="34" t="s">
        <v>47</v>
      </c>
      <c r="F143" s="52"/>
      <c r="G143" s="61"/>
      <c r="H143" s="65">
        <f>SUM(H144)</f>
        <v>147170</v>
      </c>
    </row>
    <row r="144" spans="3:8" ht="15.75">
      <c r="C144" s="6" t="s">
        <v>48</v>
      </c>
      <c r="D144" s="6" t="s">
        <v>49</v>
      </c>
      <c r="F144" s="50"/>
      <c r="G144" s="50"/>
      <c r="H144" s="51">
        <f>SUM(H145)</f>
        <v>147170</v>
      </c>
    </row>
    <row r="145" spans="6:8" ht="15.75">
      <c r="F145" s="50" t="s">
        <v>207</v>
      </c>
      <c r="G145" s="50"/>
      <c r="H145" s="56">
        <v>147170</v>
      </c>
    </row>
    <row r="146" spans="1:9" ht="21" customHeight="1">
      <c r="A146" s="46" t="s">
        <v>302</v>
      </c>
      <c r="B146" s="46"/>
      <c r="C146" s="46"/>
      <c r="D146" s="46"/>
      <c r="E146" s="46"/>
      <c r="F146" s="157"/>
      <c r="G146" s="157"/>
      <c r="H146" s="158">
        <f>SUM(H147)</f>
        <v>43000</v>
      </c>
      <c r="I146" s="36"/>
    </row>
    <row r="147" spans="1:9" ht="15.75">
      <c r="A147" s="34" t="s">
        <v>73</v>
      </c>
      <c r="B147" s="34" t="s">
        <v>74</v>
      </c>
      <c r="C147" s="34"/>
      <c r="D147" s="34"/>
      <c r="E147" s="34"/>
      <c r="F147" s="52"/>
      <c r="G147" s="31"/>
      <c r="H147" s="45">
        <f>H148</f>
        <v>43000</v>
      </c>
      <c r="I147" s="36"/>
    </row>
    <row r="148" spans="3:9" ht="15.75">
      <c r="C148" s="6" t="s">
        <v>303</v>
      </c>
      <c r="D148" s="6" t="s">
        <v>76</v>
      </c>
      <c r="G148" s="31"/>
      <c r="H148" s="36">
        <v>43000</v>
      </c>
      <c r="I148" s="36"/>
    </row>
    <row r="149" spans="6:9" ht="15.75">
      <c r="F149" s="6" t="s">
        <v>307</v>
      </c>
      <c r="G149" s="31"/>
      <c r="H149" s="36">
        <v>43000</v>
      </c>
      <c r="I149" s="36"/>
    </row>
    <row r="150" spans="1:8" s="34" customFormat="1" ht="30.75" customHeight="1">
      <c r="A150" s="39" t="s">
        <v>77</v>
      </c>
      <c r="B150" s="66"/>
      <c r="C150" s="66"/>
      <c r="D150" s="66"/>
      <c r="E150" s="66"/>
      <c r="F150" s="67"/>
      <c r="G150" s="67"/>
      <c r="H150" s="68">
        <f>SUM(H151,H156)</f>
        <v>6169197</v>
      </c>
    </row>
    <row r="151" spans="1:8" s="34" customFormat="1" ht="19.5" customHeight="1">
      <c r="A151" s="34" t="s">
        <v>21</v>
      </c>
      <c r="B151" s="34" t="s">
        <v>22</v>
      </c>
      <c r="F151" s="72"/>
      <c r="G151" s="99"/>
      <c r="H151" s="70">
        <f>SUM(H152,H156)</f>
        <v>3297197</v>
      </c>
    </row>
    <row r="152" spans="1:8" s="34" customFormat="1" ht="19.5" customHeight="1">
      <c r="A152" s="1"/>
      <c r="B152" s="6" t="s">
        <v>23</v>
      </c>
      <c r="C152" s="6"/>
      <c r="D152" s="6" t="s">
        <v>1</v>
      </c>
      <c r="E152" s="6"/>
      <c r="F152" s="69"/>
      <c r="G152" s="69"/>
      <c r="H152" s="71">
        <v>425197</v>
      </c>
    </row>
    <row r="153" spans="1:8" s="34" customFormat="1" ht="19.5" customHeight="1">
      <c r="A153" s="1"/>
      <c r="B153" s="6"/>
      <c r="C153" s="6" t="s">
        <v>26</v>
      </c>
      <c r="D153" s="6" t="s">
        <v>27</v>
      </c>
      <c r="E153" s="6"/>
      <c r="F153" s="69"/>
      <c r="G153" s="69"/>
      <c r="H153" s="71">
        <v>0</v>
      </c>
    </row>
    <row r="154" spans="1:8" s="34" customFormat="1" ht="14.25" customHeight="1">
      <c r="A154" s="1"/>
      <c r="B154" s="6" t="s">
        <v>42</v>
      </c>
      <c r="C154" s="6"/>
      <c r="D154" s="6" t="s">
        <v>43</v>
      </c>
      <c r="E154" s="6"/>
      <c r="F154" s="69"/>
      <c r="G154" s="69"/>
      <c r="H154" s="71">
        <f>H155</f>
        <v>114803.19</v>
      </c>
    </row>
    <row r="155" spans="1:8" s="34" customFormat="1" ht="14.25" customHeight="1">
      <c r="A155" s="1"/>
      <c r="B155" s="6"/>
      <c r="C155" s="6" t="s">
        <v>44</v>
      </c>
      <c r="D155" s="6" t="s">
        <v>45</v>
      </c>
      <c r="E155" s="6"/>
      <c r="F155" s="69"/>
      <c r="G155" s="69"/>
      <c r="H155" s="71">
        <f>H152*0.27</f>
        <v>114803.19</v>
      </c>
    </row>
    <row r="156" spans="1:8" s="34" customFormat="1" ht="15.75">
      <c r="A156" s="34" t="s">
        <v>73</v>
      </c>
      <c r="B156" s="34" t="s">
        <v>74</v>
      </c>
      <c r="F156" s="52"/>
      <c r="G156" s="93"/>
      <c r="H156" s="54">
        <f>SUM(H157)</f>
        <v>2872000</v>
      </c>
    </row>
    <row r="157" spans="2:8" ht="15.75">
      <c r="B157" s="6" t="s">
        <v>75</v>
      </c>
      <c r="D157" s="6" t="s">
        <v>76</v>
      </c>
      <c r="F157" s="50"/>
      <c r="G157" s="56"/>
      <c r="H157" s="51">
        <f>SUM(H158:H158)</f>
        <v>2872000</v>
      </c>
    </row>
    <row r="158" spans="6:8" ht="15.75">
      <c r="F158" s="50" t="s">
        <v>252</v>
      </c>
      <c r="G158" s="56"/>
      <c r="H158" s="51">
        <v>2872000</v>
      </c>
    </row>
    <row r="159" spans="1:8" ht="31.5" customHeight="1">
      <c r="A159" s="156" t="s">
        <v>256</v>
      </c>
      <c r="B159" s="46"/>
      <c r="C159" s="46"/>
      <c r="D159" s="46"/>
      <c r="E159" s="46"/>
      <c r="F159" s="157"/>
      <c r="G159" s="157"/>
      <c r="H159" s="158">
        <f>SUM(H160)</f>
        <v>0</v>
      </c>
    </row>
    <row r="160" spans="1:9" ht="15.75">
      <c r="A160" s="34" t="s">
        <v>21</v>
      </c>
      <c r="B160" s="34" t="s">
        <v>22</v>
      </c>
      <c r="C160" s="34"/>
      <c r="D160" s="34"/>
      <c r="E160" s="34"/>
      <c r="F160" s="72"/>
      <c r="G160" s="99"/>
      <c r="H160" s="70">
        <f>SUM(H161,H163,H166)</f>
        <v>0</v>
      </c>
      <c r="I160" s="163"/>
    </row>
    <row r="161" spans="2:9" ht="15.75">
      <c r="B161" s="6" t="s">
        <v>23</v>
      </c>
      <c r="D161" s="6" t="s">
        <v>1</v>
      </c>
      <c r="F161" s="69"/>
      <c r="G161" s="69"/>
      <c r="H161" s="159">
        <v>0</v>
      </c>
      <c r="I161" s="161"/>
    </row>
    <row r="162" spans="3:9" ht="15.75">
      <c r="C162" s="6" t="s">
        <v>26</v>
      </c>
      <c r="D162" s="6" t="s">
        <v>27</v>
      </c>
      <c r="F162" s="69"/>
      <c r="G162" s="69"/>
      <c r="H162" s="71">
        <v>0</v>
      </c>
      <c r="I162" s="162"/>
    </row>
    <row r="163" spans="2:9" ht="15.75">
      <c r="B163" s="6" t="s">
        <v>34</v>
      </c>
      <c r="D163" s="6" t="s">
        <v>35</v>
      </c>
      <c r="G163" s="69"/>
      <c r="H163" s="159">
        <v>0</v>
      </c>
      <c r="I163" s="163"/>
    </row>
    <row r="164" spans="3:9" ht="15.75">
      <c r="C164" s="6" t="s">
        <v>40</v>
      </c>
      <c r="D164" s="6" t="s">
        <v>41</v>
      </c>
      <c r="F164" s="50"/>
      <c r="G164" s="69"/>
      <c r="H164" s="71">
        <v>0</v>
      </c>
      <c r="I164" s="163"/>
    </row>
    <row r="165" spans="6:9" ht="15.75">
      <c r="F165" s="50" t="s">
        <v>203</v>
      </c>
      <c r="G165" s="69"/>
      <c r="H165" s="71">
        <v>0</v>
      </c>
      <c r="I165" s="163"/>
    </row>
    <row r="166" spans="2:9" ht="15.75">
      <c r="B166" s="6" t="s">
        <v>42</v>
      </c>
      <c r="D166" s="6" t="s">
        <v>43</v>
      </c>
      <c r="F166" s="69"/>
      <c r="G166" s="69"/>
      <c r="H166" s="159">
        <f>SUM(H167)</f>
        <v>0</v>
      </c>
      <c r="I166" s="162"/>
    </row>
    <row r="167" spans="3:9" ht="15.75">
      <c r="C167" s="6" t="s">
        <v>44</v>
      </c>
      <c r="D167" s="6" t="s">
        <v>45</v>
      </c>
      <c r="F167" s="69"/>
      <c r="G167" s="69"/>
      <c r="H167" s="71">
        <v>0</v>
      </c>
      <c r="I167" s="163"/>
    </row>
    <row r="168" spans="1:8" s="34" customFormat="1" ht="31.5" customHeight="1">
      <c r="A168" s="39" t="s">
        <v>126</v>
      </c>
      <c r="B168" s="66"/>
      <c r="C168" s="66"/>
      <c r="D168" s="66"/>
      <c r="E168" s="66"/>
      <c r="F168" s="67"/>
      <c r="G168" s="67"/>
      <c r="H168" s="68">
        <f>SUM(H169)</f>
        <v>130000</v>
      </c>
    </row>
    <row r="169" spans="1:8" s="34" customFormat="1" ht="15.75">
      <c r="A169" s="34" t="s">
        <v>21</v>
      </c>
      <c r="B169" s="34" t="s">
        <v>22</v>
      </c>
      <c r="F169" s="52"/>
      <c r="G169" s="61"/>
      <c r="H169" s="65">
        <f>SUM(H173+H180+H176+H170)</f>
        <v>130000</v>
      </c>
    </row>
    <row r="170" spans="2:8" ht="15.75">
      <c r="B170" s="6" t="s">
        <v>23</v>
      </c>
      <c r="D170" s="6" t="s">
        <v>1</v>
      </c>
      <c r="F170" s="55"/>
      <c r="G170" s="55"/>
      <c r="H170" s="62">
        <f>SUM(H171)</f>
        <v>10000</v>
      </c>
    </row>
    <row r="171" spans="3:8" ht="15.75">
      <c r="C171" s="6" t="s">
        <v>26</v>
      </c>
      <c r="D171" s="6" t="s">
        <v>69</v>
      </c>
      <c r="F171" s="50"/>
      <c r="G171" s="50"/>
      <c r="H171" s="51">
        <f>SUM(H172:H172)</f>
        <v>10000</v>
      </c>
    </row>
    <row r="172" spans="1:8" ht="15.75">
      <c r="A172" s="34"/>
      <c r="B172" s="32"/>
      <c r="C172" s="32"/>
      <c r="D172" s="57"/>
      <c r="E172" s="57"/>
      <c r="F172" s="50" t="s">
        <v>6</v>
      </c>
      <c r="G172" s="50"/>
      <c r="H172" s="51">
        <v>10000</v>
      </c>
    </row>
    <row r="173" spans="2:8" ht="15.75">
      <c r="B173" s="6" t="s">
        <v>28</v>
      </c>
      <c r="D173" s="6" t="s">
        <v>29</v>
      </c>
      <c r="F173" s="50"/>
      <c r="G173" s="50"/>
      <c r="H173" s="58">
        <f>SUM(H174)</f>
        <v>50000</v>
      </c>
    </row>
    <row r="174" spans="3:8" ht="15.75">
      <c r="C174" s="6" t="s">
        <v>30</v>
      </c>
      <c r="D174" s="6" t="s">
        <v>31</v>
      </c>
      <c r="F174" s="50"/>
      <c r="G174" s="50"/>
      <c r="H174" s="51">
        <f>SUM(H175:H175)</f>
        <v>50000</v>
      </c>
    </row>
    <row r="175" spans="6:8" ht="15.75">
      <c r="F175" s="50" t="s">
        <v>62</v>
      </c>
      <c r="G175" s="50"/>
      <c r="H175" s="51">
        <v>50000</v>
      </c>
    </row>
    <row r="176" spans="2:8" ht="15.75">
      <c r="B176" s="6" t="s">
        <v>34</v>
      </c>
      <c r="D176" s="6" t="s">
        <v>35</v>
      </c>
      <c r="F176" s="50"/>
      <c r="G176" s="50"/>
      <c r="H176" s="62">
        <f>SUM(H177+H178)</f>
        <v>45000</v>
      </c>
    </row>
    <row r="177" spans="3:8" ht="15.75">
      <c r="C177" s="6" t="s">
        <v>39</v>
      </c>
      <c r="D177" s="6" t="s">
        <v>2</v>
      </c>
      <c r="F177" s="50"/>
      <c r="G177" s="50"/>
      <c r="H177" s="51">
        <v>40000</v>
      </c>
    </row>
    <row r="178" spans="3:8" ht="15.75">
      <c r="C178" s="6" t="s">
        <v>40</v>
      </c>
      <c r="D178" s="6" t="s">
        <v>41</v>
      </c>
      <c r="F178" s="50"/>
      <c r="G178" s="50"/>
      <c r="H178" s="180">
        <v>5000</v>
      </c>
    </row>
    <row r="179" spans="6:8" ht="15.75">
      <c r="F179" s="50" t="s">
        <v>203</v>
      </c>
      <c r="G179" s="50"/>
      <c r="H179" s="51">
        <v>5000</v>
      </c>
    </row>
    <row r="180" spans="2:8" ht="15.75">
      <c r="B180" s="6" t="s">
        <v>42</v>
      </c>
      <c r="D180" s="6" t="s">
        <v>43</v>
      </c>
      <c r="F180" s="50"/>
      <c r="G180" s="50"/>
      <c r="H180" s="58">
        <f>SUM(H181)</f>
        <v>25000</v>
      </c>
    </row>
    <row r="181" spans="3:8" ht="15.75">
      <c r="C181" s="6" t="s">
        <v>44</v>
      </c>
      <c r="D181" s="6" t="s">
        <v>45</v>
      </c>
      <c r="F181" s="50"/>
      <c r="G181" s="50"/>
      <c r="H181" s="51">
        <v>25000</v>
      </c>
    </row>
    <row r="182" spans="1:8" s="34" customFormat="1" ht="31.5" customHeight="1">
      <c r="A182" s="39" t="s">
        <v>127</v>
      </c>
      <c r="B182" s="66"/>
      <c r="C182" s="66"/>
      <c r="D182" s="66"/>
      <c r="E182" s="66"/>
      <c r="F182" s="67"/>
      <c r="G182" s="67"/>
      <c r="H182" s="68">
        <f>SUM(H183+H194)</f>
        <v>3800000</v>
      </c>
    </row>
    <row r="183" spans="1:8" s="34" customFormat="1" ht="15.75">
      <c r="A183" s="34" t="s">
        <v>21</v>
      </c>
      <c r="B183" s="34" t="s">
        <v>22</v>
      </c>
      <c r="F183" s="52"/>
      <c r="G183" s="61"/>
      <c r="H183" s="65">
        <f>SUM(H184+H187+H192)</f>
        <v>3800000</v>
      </c>
    </row>
    <row r="184" spans="2:8" ht="15.75">
      <c r="B184" s="6" t="s">
        <v>23</v>
      </c>
      <c r="D184" s="6" t="s">
        <v>1</v>
      </c>
      <c r="F184" s="55"/>
      <c r="G184" s="55"/>
      <c r="H184" s="58">
        <f>SUM(+H185)</f>
        <v>1500000</v>
      </c>
    </row>
    <row r="185" spans="3:8" ht="15.75">
      <c r="C185" s="6" t="s">
        <v>26</v>
      </c>
      <c r="D185" s="6" t="s">
        <v>27</v>
      </c>
      <c r="F185" s="50"/>
      <c r="G185" s="50"/>
      <c r="H185" s="51">
        <f>SUM(H186:H186)</f>
        <v>1500000</v>
      </c>
    </row>
    <row r="186" spans="1:8" ht="15.75">
      <c r="A186" s="34"/>
      <c r="B186" s="32"/>
      <c r="C186" s="32"/>
      <c r="D186" s="57"/>
      <c r="E186" s="57"/>
      <c r="F186" s="50" t="s">
        <v>6</v>
      </c>
      <c r="G186" s="50"/>
      <c r="H186" s="51">
        <v>1500000</v>
      </c>
    </row>
    <row r="187" spans="2:8" ht="15.75">
      <c r="B187" s="6" t="s">
        <v>34</v>
      </c>
      <c r="D187" s="6" t="s">
        <v>35</v>
      </c>
      <c r="F187" s="50"/>
      <c r="G187" s="50"/>
      <c r="H187" s="58">
        <f>SUM(H188+H189+H190)</f>
        <v>1800000</v>
      </c>
    </row>
    <row r="188" spans="3:8" ht="15.75">
      <c r="C188" s="6" t="s">
        <v>36</v>
      </c>
      <c r="D188" s="6" t="s">
        <v>37</v>
      </c>
      <c r="F188" s="50"/>
      <c r="G188" s="50"/>
      <c r="H188" s="51">
        <v>500000</v>
      </c>
    </row>
    <row r="189" spans="3:8" ht="15.75">
      <c r="C189" s="6" t="s">
        <v>39</v>
      </c>
      <c r="D189" s="6" t="s">
        <v>2</v>
      </c>
      <c r="F189" s="50"/>
      <c r="G189" s="50"/>
      <c r="H189" s="51">
        <v>300000</v>
      </c>
    </row>
    <row r="190" spans="3:8" ht="15.75">
      <c r="C190" s="6" t="s">
        <v>40</v>
      </c>
      <c r="D190" s="6" t="s">
        <v>41</v>
      </c>
      <c r="F190" s="50"/>
      <c r="G190" s="50"/>
      <c r="H190" s="51">
        <f>H191</f>
        <v>1000000</v>
      </c>
    </row>
    <row r="191" spans="6:8" ht="15.75">
      <c r="F191" s="50" t="s">
        <v>203</v>
      </c>
      <c r="G191" s="50"/>
      <c r="H191" s="51">
        <v>1000000</v>
      </c>
    </row>
    <row r="192" spans="2:8" ht="15.75">
      <c r="B192" s="6" t="s">
        <v>42</v>
      </c>
      <c r="D192" s="6" t="s">
        <v>43</v>
      </c>
      <c r="F192" s="50"/>
      <c r="G192" s="50"/>
      <c r="H192" s="58">
        <f>SUM(H193)</f>
        <v>500000</v>
      </c>
    </row>
    <row r="193" spans="3:8" ht="15.75">
      <c r="C193" s="6" t="s">
        <v>44</v>
      </c>
      <c r="D193" s="6" t="s">
        <v>45</v>
      </c>
      <c r="H193" s="36">
        <v>500000</v>
      </c>
    </row>
    <row r="194" spans="1:8" s="34" customFormat="1" ht="15.75">
      <c r="A194" s="34" t="s">
        <v>140</v>
      </c>
      <c r="B194" s="34" t="s">
        <v>141</v>
      </c>
      <c r="F194" s="72"/>
      <c r="G194" s="73"/>
      <c r="H194" s="70">
        <f>SUM(H195:H196)</f>
        <v>0</v>
      </c>
    </row>
    <row r="195" spans="2:8" ht="15.75">
      <c r="B195" s="6" t="s">
        <v>222</v>
      </c>
      <c r="D195" s="6" t="s">
        <v>223</v>
      </c>
      <c r="F195" s="69"/>
      <c r="G195" s="74"/>
      <c r="H195" s="71">
        <v>0</v>
      </c>
    </row>
    <row r="196" spans="2:8" ht="15.75">
      <c r="B196" s="6" t="s">
        <v>224</v>
      </c>
      <c r="D196" s="6" t="s">
        <v>225</v>
      </c>
      <c r="F196" s="69"/>
      <c r="G196" s="74"/>
      <c r="H196" s="71">
        <f>H195*0.27</f>
        <v>0</v>
      </c>
    </row>
    <row r="197" spans="1:9" s="34" customFormat="1" ht="30.75" customHeight="1">
      <c r="A197" s="156" t="s">
        <v>257</v>
      </c>
      <c r="B197" s="46"/>
      <c r="C197" s="46"/>
      <c r="D197" s="46"/>
      <c r="E197" s="46"/>
      <c r="F197" s="157"/>
      <c r="G197" s="157"/>
      <c r="H197" s="158">
        <f>SUM(H198)</f>
        <v>20000</v>
      </c>
      <c r="I197" s="1"/>
    </row>
    <row r="198" spans="1:9" s="34" customFormat="1" ht="15.75">
      <c r="A198" s="34" t="s">
        <v>46</v>
      </c>
      <c r="B198" s="34" t="s">
        <v>47</v>
      </c>
      <c r="F198" s="72"/>
      <c r="G198" s="99"/>
      <c r="H198" s="70">
        <f>SUM(H199)</f>
        <v>20000</v>
      </c>
      <c r="I198" s="160"/>
    </row>
    <row r="199" spans="3:9" ht="15.75">
      <c r="C199" s="6" t="s">
        <v>240</v>
      </c>
      <c r="D199" s="6" t="s">
        <v>241</v>
      </c>
      <c r="F199" s="69"/>
      <c r="G199" s="74"/>
      <c r="H199" s="71">
        <f>SUM(H200)</f>
        <v>20000</v>
      </c>
      <c r="I199" s="162"/>
    </row>
    <row r="200" spans="6:9" ht="15.75">
      <c r="F200" s="69" t="s">
        <v>258</v>
      </c>
      <c r="G200" s="74"/>
      <c r="H200" s="71">
        <v>20000</v>
      </c>
      <c r="I200" s="163"/>
    </row>
    <row r="201" spans="1:9" s="34" customFormat="1" ht="30.75" customHeight="1">
      <c r="A201" s="156" t="s">
        <v>259</v>
      </c>
      <c r="B201" s="46"/>
      <c r="C201" s="46"/>
      <c r="D201" s="46"/>
      <c r="E201" s="46"/>
      <c r="F201" s="157"/>
      <c r="G201" s="157"/>
      <c r="H201" s="158">
        <f>SUM(H202)</f>
        <v>20000</v>
      </c>
      <c r="I201" s="1"/>
    </row>
    <row r="202" spans="1:9" s="34" customFormat="1" ht="15.75">
      <c r="A202" s="34" t="s">
        <v>46</v>
      </c>
      <c r="B202" s="34" t="s">
        <v>47</v>
      </c>
      <c r="F202" s="72"/>
      <c r="G202" s="99"/>
      <c r="H202" s="70">
        <f>SUM(H203)</f>
        <v>20000</v>
      </c>
      <c r="I202" s="160"/>
    </row>
    <row r="203" spans="3:9" ht="15.75">
      <c r="C203" s="6" t="s">
        <v>240</v>
      </c>
      <c r="D203" s="6" t="s">
        <v>241</v>
      </c>
      <c r="F203" s="69"/>
      <c r="G203" s="74"/>
      <c r="H203" s="71">
        <f>SUM(H204)</f>
        <v>20000</v>
      </c>
      <c r="I203" s="162"/>
    </row>
    <row r="204" spans="6:9" ht="15.75">
      <c r="F204" s="69" t="s">
        <v>258</v>
      </c>
      <c r="G204" s="74"/>
      <c r="H204" s="71">
        <v>20000</v>
      </c>
      <c r="I204" s="163"/>
    </row>
    <row r="205" spans="1:9" s="34" customFormat="1" ht="28.5" customHeight="1">
      <c r="A205" s="244" t="s">
        <v>115</v>
      </c>
      <c r="B205" s="245"/>
      <c r="C205" s="245"/>
      <c r="D205" s="245"/>
      <c r="E205" s="245"/>
      <c r="F205" s="245"/>
      <c r="G205" s="157"/>
      <c r="H205" s="158">
        <f>SUM(H206)</f>
        <v>0</v>
      </c>
      <c r="I205" s="35"/>
    </row>
    <row r="206" spans="1:9" s="34" customFormat="1" ht="15.75">
      <c r="A206" s="34" t="s">
        <v>46</v>
      </c>
      <c r="B206" s="34" t="s">
        <v>47</v>
      </c>
      <c r="F206" s="72"/>
      <c r="G206" s="99"/>
      <c r="H206" s="70">
        <f>SUM(H207)</f>
        <v>0</v>
      </c>
      <c r="I206" s="163"/>
    </row>
    <row r="207" spans="3:9" ht="15.75">
      <c r="C207" s="6" t="s">
        <v>273</v>
      </c>
      <c r="D207" s="6" t="s">
        <v>274</v>
      </c>
      <c r="F207" s="69"/>
      <c r="G207" s="74"/>
      <c r="H207" s="71">
        <v>0</v>
      </c>
      <c r="I207" s="162"/>
    </row>
    <row r="208" spans="1:8" s="34" customFormat="1" ht="30.75" customHeight="1">
      <c r="A208" s="39" t="s">
        <v>255</v>
      </c>
      <c r="B208" s="101"/>
      <c r="C208" s="101"/>
      <c r="D208" s="101"/>
      <c r="E208" s="101"/>
      <c r="F208" s="104"/>
      <c r="G208" s="94">
        <f>SUM(G9+G117+G135)</f>
        <v>6</v>
      </c>
      <c r="H208" s="68">
        <f>SUM(H9+H49+H57+H84+H99+H110+H117+H135+H150+H168+H182+H46+H80+H142+H159+H197+H201+H205+H146)</f>
        <v>85278615.48</v>
      </c>
    </row>
    <row r="209" spans="1:8" s="22" customFormat="1" ht="15.75">
      <c r="A209" s="24"/>
      <c r="B209" s="17"/>
      <c r="C209" s="17"/>
      <c r="D209" s="17"/>
      <c r="E209" s="17"/>
      <c r="F209" s="17"/>
      <c r="G209" s="17"/>
      <c r="H209" s="6"/>
    </row>
    <row r="210" spans="6:8" ht="15.75">
      <c r="F210" s="31"/>
      <c r="G210" s="96" t="s">
        <v>11</v>
      </c>
      <c r="H210" s="96">
        <f>H10+H118+H136+H58</f>
        <v>13844584</v>
      </c>
    </row>
    <row r="211" spans="6:8" ht="15.75">
      <c r="F211" s="31"/>
      <c r="G211" s="96" t="s">
        <v>19</v>
      </c>
      <c r="H211" s="96">
        <f>H18+H123+H140+H61</f>
        <v>2303883.48</v>
      </c>
    </row>
    <row r="212" spans="6:8" ht="15.75">
      <c r="F212" s="31"/>
      <c r="G212" s="96" t="s">
        <v>21</v>
      </c>
      <c r="H212" s="96">
        <f>H20+H63+H85+H100+H111+H125+H151+H169+H183+H160</f>
        <v>15394197</v>
      </c>
    </row>
    <row r="213" spans="6:8" ht="15.75">
      <c r="F213" s="31"/>
      <c r="G213" s="96" t="s">
        <v>73</v>
      </c>
      <c r="H213" s="96">
        <f>H156+H147</f>
        <v>2915000</v>
      </c>
    </row>
    <row r="214" spans="6:8" ht="15.75">
      <c r="F214" s="31"/>
      <c r="G214" s="96" t="s">
        <v>46</v>
      </c>
      <c r="H214" s="96">
        <f>H38+H81+H143+H198+H202+H206</f>
        <v>18760963</v>
      </c>
    </row>
    <row r="215" spans="6:8" ht="15.75">
      <c r="F215" s="31"/>
      <c r="G215" s="96" t="s">
        <v>160</v>
      </c>
      <c r="H215" s="96">
        <f>H73+H96+H107</f>
        <v>2535050</v>
      </c>
    </row>
    <row r="216" spans="6:8" ht="15.75">
      <c r="F216" s="31"/>
      <c r="G216" s="96" t="s">
        <v>140</v>
      </c>
      <c r="H216" s="96">
        <f>H194+H77</f>
        <v>1000000</v>
      </c>
    </row>
    <row r="217" spans="6:8" ht="15.75">
      <c r="F217" s="31"/>
      <c r="G217" s="96" t="s">
        <v>64</v>
      </c>
      <c r="H217" s="96">
        <f>H50+H47</f>
        <v>28524938</v>
      </c>
    </row>
    <row r="218" spans="2:8" s="34" customFormat="1" ht="15.75">
      <c r="B218" s="32"/>
      <c r="C218" s="32"/>
      <c r="D218" s="32"/>
      <c r="E218" s="32"/>
      <c r="F218" s="19"/>
      <c r="G218" s="19"/>
      <c r="H218" s="45">
        <f>SUM(H210:H217)</f>
        <v>85278615.48</v>
      </c>
    </row>
    <row r="219" spans="6:8" ht="15.75">
      <c r="F219" s="19"/>
      <c r="G219" s="19"/>
      <c r="H219" s="19"/>
    </row>
    <row r="220" ht="15.75">
      <c r="H220" s="31">
        <f>'2.bevétel'!F95</f>
        <v>85278615.4</v>
      </c>
    </row>
    <row r="221" spans="7:8" ht="15.75">
      <c r="G221" s="6" t="s">
        <v>318</v>
      </c>
      <c r="H221" s="31">
        <f>H220-H218</f>
        <v>-0.07999999821186066</v>
      </c>
    </row>
  </sheetData>
  <sheetProtection selectLockedCells="1" selectUnlockedCells="1"/>
  <mergeCells count="13">
    <mergeCell ref="A205:F205"/>
    <mergeCell ref="A84:F84"/>
    <mergeCell ref="A57:F57"/>
    <mergeCell ref="A9:F9"/>
    <mergeCell ref="A49:F49"/>
    <mergeCell ref="A110:F110"/>
    <mergeCell ref="A2:G2"/>
    <mergeCell ref="A3:G3"/>
    <mergeCell ref="A4:G4"/>
    <mergeCell ref="A5:G5"/>
    <mergeCell ref="A7:F8"/>
    <mergeCell ref="G7:G8"/>
    <mergeCell ref="A1:H1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70" r:id="rId1"/>
  <headerFooter alignWithMargins="0">
    <oddFooter>&amp;C&amp;P. oldal, összesen: &amp;N</oddFooter>
  </headerFooter>
  <rowBreaks count="3" manualBreakCount="3">
    <brk id="56" max="7" man="1"/>
    <brk id="109" max="7" man="1"/>
    <brk id="15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="90" zoomScaleNormal="90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82.00390625" style="8" bestFit="1" customWidth="1"/>
    <col min="2" max="2" width="13.57421875" style="8" customWidth="1"/>
    <col min="3" max="3" width="13.140625" style="8" customWidth="1"/>
    <col min="4" max="4" width="14.7109375" style="8" customWidth="1"/>
    <col min="5" max="5" width="15.7109375" style="8" customWidth="1"/>
    <col min="6" max="16384" width="9.140625" style="8" customWidth="1"/>
  </cols>
  <sheetData>
    <row r="1" spans="1:5" ht="15.75">
      <c r="A1" s="243" t="s">
        <v>328</v>
      </c>
      <c r="B1" s="243"/>
      <c r="C1" s="243"/>
      <c r="D1" s="243"/>
      <c r="E1" s="243"/>
    </row>
    <row r="2" spans="1:5" s="11" customFormat="1" ht="15.75">
      <c r="A2" s="243"/>
      <c r="B2" s="243"/>
      <c r="C2" s="243"/>
      <c r="D2" s="243"/>
      <c r="E2" s="243"/>
    </row>
    <row r="3" spans="1:5" s="11" customFormat="1" ht="24" customHeight="1">
      <c r="A3" s="252" t="s">
        <v>188</v>
      </c>
      <c r="B3" s="252"/>
      <c r="C3" s="252"/>
      <c r="D3" s="252"/>
      <c r="E3" s="252"/>
    </row>
    <row r="4" spans="1:5" s="11" customFormat="1" ht="25.5" customHeight="1">
      <c r="A4" s="252" t="s">
        <v>320</v>
      </c>
      <c r="B4" s="252"/>
      <c r="C4" s="252"/>
      <c r="D4" s="252"/>
      <c r="E4" s="252"/>
    </row>
    <row r="5" spans="1:5" s="11" customFormat="1" ht="47.25">
      <c r="A5" s="106" t="s">
        <v>321</v>
      </c>
      <c r="B5" s="107" t="s">
        <v>164</v>
      </c>
      <c r="C5" s="107" t="s">
        <v>165</v>
      </c>
      <c r="D5" s="107" t="s">
        <v>205</v>
      </c>
      <c r="E5" s="107" t="s">
        <v>166</v>
      </c>
    </row>
    <row r="6" spans="1:5" s="11" customFormat="1" ht="15.75">
      <c r="A6" s="112" t="s">
        <v>167</v>
      </c>
      <c r="B6" s="111">
        <f>'5.kiadás'!H9</f>
        <v>29028779.08</v>
      </c>
      <c r="C6" s="111">
        <v>0</v>
      </c>
      <c r="D6" s="111">
        <v>0</v>
      </c>
      <c r="E6" s="111">
        <f aca="true" t="shared" si="0" ref="E6:E25">SUM(B6:D6)</f>
        <v>29028779.08</v>
      </c>
    </row>
    <row r="7" spans="1:5" s="11" customFormat="1" ht="15.75">
      <c r="A7" s="112" t="s">
        <v>230</v>
      </c>
      <c r="B7" s="111">
        <f>'5.kiadás'!H46</f>
        <v>3363804</v>
      </c>
      <c r="C7" s="111">
        <v>0</v>
      </c>
      <c r="D7" s="111">
        <v>0</v>
      </c>
      <c r="E7" s="111">
        <f t="shared" si="0"/>
        <v>3363804</v>
      </c>
    </row>
    <row r="8" spans="1:5" s="11" customFormat="1" ht="15.75">
      <c r="A8" s="112" t="s">
        <v>63</v>
      </c>
      <c r="B8" s="111">
        <f>'5.kiadás'!H49-'5.kiadás'!H51</f>
        <v>1470330</v>
      </c>
      <c r="C8" s="111">
        <v>0</v>
      </c>
      <c r="D8" s="111">
        <v>0</v>
      </c>
      <c r="E8" s="111">
        <f t="shared" si="0"/>
        <v>1470330</v>
      </c>
    </row>
    <row r="9" spans="1:5" s="11" customFormat="1" ht="15.75">
      <c r="A9" s="112" t="s">
        <v>168</v>
      </c>
      <c r="B9" s="111">
        <f>'5.kiadás'!H57</f>
        <v>5243000</v>
      </c>
      <c r="C9" s="111">
        <v>0</v>
      </c>
      <c r="D9" s="111">
        <v>0</v>
      </c>
      <c r="E9" s="111">
        <f t="shared" si="0"/>
        <v>5243000</v>
      </c>
    </row>
    <row r="10" spans="1:5" s="11" customFormat="1" ht="15.75">
      <c r="A10" s="112" t="s">
        <v>214</v>
      </c>
      <c r="B10" s="111">
        <f>'5.kiadás'!H80</f>
        <v>403606</v>
      </c>
      <c r="C10" s="111">
        <v>0</v>
      </c>
      <c r="D10" s="111">
        <v>0</v>
      </c>
      <c r="E10" s="111">
        <f t="shared" si="0"/>
        <v>403606</v>
      </c>
    </row>
    <row r="11" spans="1:5" s="11" customFormat="1" ht="15.75">
      <c r="A11" s="112" t="s">
        <v>67</v>
      </c>
      <c r="B11" s="111">
        <f>'5.kiadás'!H84</f>
        <v>890050</v>
      </c>
      <c r="C11" s="111">
        <v>0</v>
      </c>
      <c r="D11" s="111">
        <v>0</v>
      </c>
      <c r="E11" s="111">
        <f t="shared" si="0"/>
        <v>890050</v>
      </c>
    </row>
    <row r="12" spans="1:5" s="11" customFormat="1" ht="15.75">
      <c r="A12" s="108" t="s">
        <v>170</v>
      </c>
      <c r="B12" s="111">
        <f>'5.kiadás'!H99</f>
        <v>1315000</v>
      </c>
      <c r="C12" s="111">
        <v>0</v>
      </c>
      <c r="D12" s="111">
        <v>0</v>
      </c>
      <c r="E12" s="111">
        <f t="shared" si="0"/>
        <v>1315000</v>
      </c>
    </row>
    <row r="13" spans="1:5" s="11" customFormat="1" ht="15.75">
      <c r="A13" s="112" t="s">
        <v>171</v>
      </c>
      <c r="B13" s="111">
        <f>'5.kiadás'!H110</f>
        <v>762000</v>
      </c>
      <c r="C13" s="111">
        <v>0</v>
      </c>
      <c r="D13" s="111">
        <v>0</v>
      </c>
      <c r="E13" s="111">
        <f t="shared" si="0"/>
        <v>762000</v>
      </c>
    </row>
    <row r="14" spans="1:5" s="11" customFormat="1" ht="15.75">
      <c r="A14" s="108" t="s">
        <v>169</v>
      </c>
      <c r="B14" s="111">
        <f>'5.kiadás'!H117</f>
        <v>4432000</v>
      </c>
      <c r="C14" s="111">
        <v>0</v>
      </c>
      <c r="D14" s="111">
        <v>0</v>
      </c>
      <c r="E14" s="111">
        <f t="shared" si="0"/>
        <v>4432000</v>
      </c>
    </row>
    <row r="15" spans="1:5" s="11" customFormat="1" ht="15.75">
      <c r="A15" s="108" t="s">
        <v>72</v>
      </c>
      <c r="B15" s="111">
        <f>'5.kiadás'!H135+'12.Idősek Otthona kiadás'!G39</f>
        <v>5424875.4</v>
      </c>
      <c r="C15" s="111">
        <v>0</v>
      </c>
      <c r="D15" s="111">
        <v>0</v>
      </c>
      <c r="E15" s="111">
        <f t="shared" si="0"/>
        <v>5424875.4</v>
      </c>
    </row>
    <row r="16" spans="1:5" s="11" customFormat="1" ht="15.75">
      <c r="A16" s="108" t="s">
        <v>208</v>
      </c>
      <c r="B16" s="111">
        <f>'5.kiadás'!H142</f>
        <v>147170</v>
      </c>
      <c r="C16" s="111">
        <v>0</v>
      </c>
      <c r="D16" s="111">
        <v>0</v>
      </c>
      <c r="E16" s="111">
        <f t="shared" si="0"/>
        <v>147170</v>
      </c>
    </row>
    <row r="17" spans="1:5" s="11" customFormat="1" ht="15.75">
      <c r="A17" s="108" t="s">
        <v>302</v>
      </c>
      <c r="B17" s="111">
        <f>'5.kiadás'!H146</f>
        <v>43000</v>
      </c>
      <c r="C17" s="111">
        <v>0</v>
      </c>
      <c r="D17" s="111"/>
      <c r="E17" s="111">
        <f t="shared" si="0"/>
        <v>43000</v>
      </c>
    </row>
    <row r="18" spans="1:5" s="11" customFormat="1" ht="15.75">
      <c r="A18" s="108" t="s">
        <v>77</v>
      </c>
      <c r="B18" s="111">
        <f>'5.kiadás'!H150</f>
        <v>6169197</v>
      </c>
      <c r="C18" s="111">
        <v>0</v>
      </c>
      <c r="D18" s="111">
        <v>0</v>
      </c>
      <c r="E18" s="111">
        <f t="shared" si="0"/>
        <v>6169197</v>
      </c>
    </row>
    <row r="19" spans="1:5" s="11" customFormat="1" ht="15.75">
      <c r="A19" s="108" t="s">
        <v>256</v>
      </c>
      <c r="B19" s="111">
        <f>'5.kiadás'!H159</f>
        <v>0</v>
      </c>
      <c r="C19" s="111">
        <v>0</v>
      </c>
      <c r="D19" s="111">
        <v>0</v>
      </c>
      <c r="E19" s="111">
        <f t="shared" si="0"/>
        <v>0</v>
      </c>
    </row>
    <row r="20" spans="1:5" s="11" customFormat="1" ht="15.75">
      <c r="A20" s="108" t="s">
        <v>126</v>
      </c>
      <c r="B20" s="111">
        <v>0</v>
      </c>
      <c r="C20" s="111">
        <v>130000</v>
      </c>
      <c r="D20" s="111">
        <v>0</v>
      </c>
      <c r="E20" s="111">
        <f t="shared" si="0"/>
        <v>130000</v>
      </c>
    </row>
    <row r="21" spans="1:5" s="11" customFormat="1" ht="15.75">
      <c r="A21" s="108" t="s">
        <v>172</v>
      </c>
      <c r="B21" s="111"/>
      <c r="C21" s="111">
        <f>'5.kiadás'!H182</f>
        <v>3800000</v>
      </c>
      <c r="D21" s="111">
        <v>0</v>
      </c>
      <c r="E21" s="111">
        <f t="shared" si="0"/>
        <v>3800000</v>
      </c>
    </row>
    <row r="22" spans="1:5" s="11" customFormat="1" ht="15.75">
      <c r="A22" s="108" t="s">
        <v>257</v>
      </c>
      <c r="B22" s="111">
        <f>'5.kiadás'!H197</f>
        <v>20000</v>
      </c>
      <c r="C22" s="111">
        <v>0</v>
      </c>
      <c r="D22" s="111">
        <v>0</v>
      </c>
      <c r="E22" s="111">
        <f t="shared" si="0"/>
        <v>20000</v>
      </c>
    </row>
    <row r="23" spans="1:5" s="11" customFormat="1" ht="15.75">
      <c r="A23" s="108" t="s">
        <v>259</v>
      </c>
      <c r="B23" s="111">
        <f>'5.kiadás'!H201</f>
        <v>20000</v>
      </c>
      <c r="C23" s="111">
        <v>0</v>
      </c>
      <c r="D23" s="111">
        <v>0</v>
      </c>
      <c r="E23" s="111">
        <f t="shared" si="0"/>
        <v>20000</v>
      </c>
    </row>
    <row r="24" spans="1:5" s="11" customFormat="1" ht="15.75">
      <c r="A24" s="108" t="s">
        <v>115</v>
      </c>
      <c r="B24" s="111">
        <f>'5.kiadás'!H205</f>
        <v>0</v>
      </c>
      <c r="C24" s="111">
        <v>0</v>
      </c>
      <c r="D24" s="111">
        <v>0</v>
      </c>
      <c r="E24" s="111">
        <f t="shared" si="0"/>
        <v>0</v>
      </c>
    </row>
    <row r="25" spans="1:5" s="11" customFormat="1" ht="14.25" customHeight="1">
      <c r="A25" s="108" t="s">
        <v>247</v>
      </c>
      <c r="B25" s="111">
        <v>0</v>
      </c>
      <c r="C25" s="111">
        <f>'12.Idősek Otthona kiadás'!G7</f>
        <v>48463966.78</v>
      </c>
      <c r="D25" s="111">
        <v>0</v>
      </c>
      <c r="E25" s="111">
        <f t="shared" si="0"/>
        <v>48463966.78</v>
      </c>
    </row>
    <row r="26" spans="1:5" ht="15.75">
      <c r="A26" s="223" t="s">
        <v>189</v>
      </c>
      <c r="B26" s="224">
        <f>SUM(B6:B25)</f>
        <v>58732811.48</v>
      </c>
      <c r="C26" s="224">
        <f>SUM(C6:C25)</f>
        <v>52393966.78</v>
      </c>
      <c r="D26" s="224">
        <f>SUM(D6:D25)</f>
        <v>0</v>
      </c>
      <c r="E26" s="224">
        <f>SUM(E6:E25)</f>
        <v>111126778.25999999</v>
      </c>
    </row>
    <row r="27" ht="12.75">
      <c r="E27" s="8" t="s">
        <v>254</v>
      </c>
    </row>
    <row r="28" ht="14.25">
      <c r="E28" s="225"/>
    </row>
    <row r="29" ht="12.75">
      <c r="D29" s="9"/>
    </row>
  </sheetData>
  <sheetProtection/>
  <mergeCells count="4">
    <mergeCell ref="A3:E3"/>
    <mergeCell ref="A4:E4"/>
    <mergeCell ref="A2:E2"/>
    <mergeCell ref="A1:E1"/>
  </mergeCells>
  <printOptions gridLines="1" headings="1"/>
  <pageMargins left="0.75" right="0.7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="110" zoomScaleNormal="110" zoomScaleSheetLayoutView="100" zoomScalePageLayoutView="0" workbookViewId="0" topLeftCell="A1">
      <selection activeCell="A1" sqref="A1:E1"/>
    </sheetView>
  </sheetViews>
  <sheetFormatPr defaultColWidth="10.28125" defaultRowHeight="12.75"/>
  <cols>
    <col min="1" max="1" width="4.28125" style="5" customWidth="1"/>
    <col min="2" max="2" width="49.57421875" style="5" customWidth="1"/>
    <col min="3" max="3" width="16.28125" style="5" customWidth="1"/>
    <col min="4" max="4" width="16.57421875" style="5" customWidth="1"/>
    <col min="5" max="5" width="17.57421875" style="5" customWidth="1"/>
    <col min="6" max="16384" width="10.28125" style="5" customWidth="1"/>
  </cols>
  <sheetData>
    <row r="1" spans="1:5" ht="15.75">
      <c r="A1" s="255" t="s">
        <v>329</v>
      </c>
      <c r="B1" s="255"/>
      <c r="C1" s="255"/>
      <c r="D1" s="255"/>
      <c r="E1" s="255"/>
    </row>
    <row r="2" spans="1:4" ht="24" customHeight="1">
      <c r="A2" s="254" t="s">
        <v>60</v>
      </c>
      <c r="B2" s="254"/>
      <c r="C2" s="254"/>
      <c r="D2" s="254"/>
    </row>
    <row r="3" spans="1:4" ht="24" customHeight="1">
      <c r="A3" s="254" t="s">
        <v>173</v>
      </c>
      <c r="B3" s="254"/>
      <c r="C3" s="254"/>
      <c r="D3" s="254"/>
    </row>
    <row r="4" spans="2:5" ht="15.75">
      <c r="B4" s="122"/>
      <c r="C4" s="191"/>
      <c r="D4" s="191"/>
      <c r="E4" s="191"/>
    </row>
    <row r="5" spans="1:5" ht="61.5" customHeight="1">
      <c r="A5" s="253" t="s">
        <v>174</v>
      </c>
      <c r="B5" s="253"/>
      <c r="C5" s="115" t="s">
        <v>266</v>
      </c>
      <c r="D5" s="115" t="s">
        <v>309</v>
      </c>
      <c r="E5" s="115" t="s">
        <v>310</v>
      </c>
    </row>
    <row r="6" spans="1:5" ht="15.75">
      <c r="A6" s="5" t="s">
        <v>106</v>
      </c>
      <c r="B6" s="124" t="s">
        <v>107</v>
      </c>
      <c r="C6" s="111">
        <v>50778671</v>
      </c>
      <c r="D6" s="111">
        <f>50762852+1244746</f>
        <v>52007598</v>
      </c>
      <c r="E6" s="111">
        <f>'2.bevétel'!F88+'11.Idősek Otthona bevétel'!F26</f>
        <v>45769135.4</v>
      </c>
    </row>
    <row r="7" spans="1:8" ht="15.75">
      <c r="A7" s="5" t="s">
        <v>87</v>
      </c>
      <c r="B7" s="124" t="s">
        <v>88</v>
      </c>
      <c r="C7" s="111">
        <v>9361284</v>
      </c>
      <c r="D7" s="111">
        <f>12185239</f>
        <v>12185239</v>
      </c>
      <c r="E7" s="111">
        <f>'2.bevétel'!F90</f>
        <v>9150000</v>
      </c>
      <c r="H7" s="125"/>
    </row>
    <row r="8" spans="1:8" ht="15.75">
      <c r="A8" s="5" t="s">
        <v>56</v>
      </c>
      <c r="B8" s="124" t="s">
        <v>57</v>
      </c>
      <c r="C8" s="111">
        <v>20794513</v>
      </c>
      <c r="D8" s="111">
        <f>770361+22188893</f>
        <v>22959254</v>
      </c>
      <c r="E8" s="111">
        <f>'2.bevétel'!F91+'11.Idősek Otthona bevétel'!F27</f>
        <v>24851100</v>
      </c>
      <c r="H8" s="125"/>
    </row>
    <row r="9" spans="1:8" ht="15.75">
      <c r="A9" s="5" t="s">
        <v>146</v>
      </c>
      <c r="B9" s="124" t="s">
        <v>147</v>
      </c>
      <c r="C9" s="116">
        <v>139000</v>
      </c>
      <c r="D9" s="116">
        <f>100000+0</f>
        <v>100000</v>
      </c>
      <c r="E9" s="116">
        <f>'2.bevétel'!F92</f>
        <v>5000</v>
      </c>
      <c r="H9" s="125"/>
    </row>
    <row r="10" spans="1:5" ht="15.75">
      <c r="A10" s="5" t="s">
        <v>79</v>
      </c>
      <c r="B10" s="126" t="s">
        <v>80</v>
      </c>
      <c r="C10" s="116">
        <v>23611876</v>
      </c>
      <c r="D10" s="116">
        <f>24501009+2658193</f>
        <v>27159202</v>
      </c>
      <c r="E10" s="116">
        <f>'2.bevétel'!F94+'11.Idősek Otthona bevétel'!F28-'11.Idősek Otthona bevétel'!F20</f>
        <v>31351543</v>
      </c>
    </row>
    <row r="11" spans="1:5" ht="15.75">
      <c r="A11" s="127"/>
      <c r="B11" s="128" t="s">
        <v>175</v>
      </c>
      <c r="C11" s="117">
        <f>SUM(C6:C10)</f>
        <v>104685344</v>
      </c>
      <c r="D11" s="117">
        <f>SUM(D6:D10)</f>
        <v>114411293</v>
      </c>
      <c r="E11" s="117">
        <f>SUM(E6:E10)</f>
        <v>111126778.4</v>
      </c>
    </row>
    <row r="12" ht="15.75">
      <c r="B12" s="129"/>
    </row>
    <row r="13" spans="1:7" ht="15.75">
      <c r="A13" s="5" t="s">
        <v>11</v>
      </c>
      <c r="B13" s="126" t="s">
        <v>3</v>
      </c>
      <c r="C13" s="111">
        <v>35609814</v>
      </c>
      <c r="D13" s="111">
        <f>13637168+26536719</f>
        <v>40173887</v>
      </c>
      <c r="E13" s="111">
        <f>'5.kiadás'!H210+'12.Idősek Otthona kiadás'!G49</f>
        <v>39848388</v>
      </c>
      <c r="F13" s="125"/>
      <c r="G13" s="125"/>
    </row>
    <row r="14" spans="1:7" ht="15.75">
      <c r="A14" s="5" t="s">
        <v>19</v>
      </c>
      <c r="B14" s="126" t="s">
        <v>176</v>
      </c>
      <c r="C14" s="111">
        <v>7989391</v>
      </c>
      <c r="D14" s="111">
        <f>2269178+5348154</f>
        <v>7617332</v>
      </c>
      <c r="E14" s="111">
        <f>'5.kiadás'!H211+'12.Idősek Otthona kiadás'!G50</f>
        <v>7279720.26</v>
      </c>
      <c r="F14" s="125"/>
      <c r="G14" s="125"/>
    </row>
    <row r="15" spans="1:7" ht="15.75">
      <c r="A15" s="5" t="s">
        <v>21</v>
      </c>
      <c r="B15" s="126" t="s">
        <v>177</v>
      </c>
      <c r="C15" s="111">
        <v>24585373</v>
      </c>
      <c r="D15" s="111">
        <f>9158947+17648714</f>
        <v>26807661</v>
      </c>
      <c r="E15" s="111">
        <f>'5.kiadás'!H212+'12.Idősek Otthona kiadás'!G51</f>
        <v>33826523</v>
      </c>
      <c r="F15" s="125"/>
      <c r="G15" s="125"/>
    </row>
    <row r="16" spans="1:7" ht="15.75">
      <c r="A16" s="5" t="s">
        <v>73</v>
      </c>
      <c r="B16" s="126" t="s">
        <v>178</v>
      </c>
      <c r="C16" s="111">
        <v>1677252</v>
      </c>
      <c r="D16" s="111">
        <f>1357467+0</f>
        <v>1357467</v>
      </c>
      <c r="E16" s="111">
        <f>'5.kiadás'!H213</f>
        <v>2915000</v>
      </c>
      <c r="F16" s="125"/>
      <c r="G16" s="125"/>
    </row>
    <row r="17" spans="1:7" ht="15.75">
      <c r="A17" s="5" t="s">
        <v>46</v>
      </c>
      <c r="B17" s="130" t="s">
        <v>47</v>
      </c>
      <c r="C17" s="111">
        <v>4027209</v>
      </c>
      <c r="D17" s="111">
        <f>5336212+0</f>
        <v>5336212</v>
      </c>
      <c r="E17" s="111">
        <f>'5.kiadás'!H214</f>
        <v>18760963</v>
      </c>
      <c r="F17" s="125"/>
      <c r="G17" s="125"/>
    </row>
    <row r="18" spans="1:7" ht="15.75">
      <c r="A18" s="5" t="s">
        <v>179</v>
      </c>
      <c r="B18" s="130" t="s">
        <v>52</v>
      </c>
      <c r="C18" s="111">
        <v>3578891</v>
      </c>
      <c r="D18" s="111">
        <v>3740106</v>
      </c>
      <c r="E18" s="111">
        <f>'5.kiadás'!H217-'5.kiadás'!H51</f>
        <v>4834134</v>
      </c>
      <c r="F18" s="125"/>
      <c r="G18" s="125"/>
    </row>
    <row r="19" spans="1:5" ht="15.75">
      <c r="A19" s="127"/>
      <c r="B19" s="128" t="s">
        <v>180</v>
      </c>
      <c r="C19" s="118">
        <f>SUM(C13:C18)</f>
        <v>77467930</v>
      </c>
      <c r="D19" s="118">
        <f>SUM(D13:D18)</f>
        <v>85032665</v>
      </c>
      <c r="E19" s="118">
        <f>SUM(E13:E18)</f>
        <v>107464728.25999999</v>
      </c>
    </row>
    <row r="21" ht="15.75">
      <c r="D21" s="218"/>
    </row>
  </sheetData>
  <sheetProtection/>
  <mergeCells count="4">
    <mergeCell ref="A5:B5"/>
    <mergeCell ref="A2:D2"/>
    <mergeCell ref="A3:D3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="110" zoomScaleNormal="110" zoomScalePageLayoutView="0" workbookViewId="0" topLeftCell="A1">
      <selection activeCell="A1" sqref="A1:E1"/>
    </sheetView>
  </sheetViews>
  <sheetFormatPr defaultColWidth="10.28125" defaultRowHeight="12.75"/>
  <cols>
    <col min="1" max="1" width="3.421875" style="5" customWidth="1"/>
    <col min="2" max="2" width="54.7109375" style="5" customWidth="1"/>
    <col min="3" max="3" width="17.7109375" style="5" customWidth="1"/>
    <col min="4" max="4" width="17.28125" style="5" customWidth="1"/>
    <col min="5" max="5" width="15.7109375" style="5" customWidth="1"/>
    <col min="6" max="16384" width="10.28125" style="5" customWidth="1"/>
  </cols>
  <sheetData>
    <row r="1" spans="1:5" ht="15.75">
      <c r="A1" s="255" t="s">
        <v>330</v>
      </c>
      <c r="B1" s="255"/>
      <c r="C1" s="255"/>
      <c r="D1" s="255"/>
      <c r="E1" s="255"/>
    </row>
    <row r="2" spans="1:4" ht="15.75">
      <c r="A2" s="188"/>
      <c r="B2" s="188"/>
      <c r="C2" s="188"/>
      <c r="D2" s="188"/>
    </row>
    <row r="3" spans="1:4" ht="19.5" customHeight="1">
      <c r="A3" s="256" t="s">
        <v>188</v>
      </c>
      <c r="B3" s="256"/>
      <c r="C3" s="256"/>
      <c r="D3" s="256"/>
    </row>
    <row r="4" spans="1:4" ht="15.75">
      <c r="A4" s="256" t="s">
        <v>181</v>
      </c>
      <c r="B4" s="256"/>
      <c r="C4" s="256"/>
      <c r="D4" s="256"/>
    </row>
    <row r="5" spans="1:5" ht="18" customHeight="1">
      <c r="A5" s="122"/>
      <c r="B5" s="122"/>
      <c r="C5" s="190"/>
      <c r="D5" s="190"/>
      <c r="E5" s="190"/>
    </row>
    <row r="6" spans="1:5" ht="31.5">
      <c r="A6" s="253" t="s">
        <v>174</v>
      </c>
      <c r="B6" s="253"/>
      <c r="C6" s="115" t="s">
        <v>266</v>
      </c>
      <c r="D6" s="115" t="s">
        <v>309</v>
      </c>
      <c r="E6" s="115" t="s">
        <v>308</v>
      </c>
    </row>
    <row r="7" spans="1:5" ht="15.75">
      <c r="A7" s="125" t="s">
        <v>121</v>
      </c>
      <c r="B7" s="124" t="s">
        <v>122</v>
      </c>
      <c r="C7" s="119">
        <v>749360</v>
      </c>
      <c r="D7" s="119">
        <f>5805012</f>
        <v>5805012</v>
      </c>
      <c r="E7" s="119">
        <f>'3.bevétel jogc.'!F30</f>
        <v>0</v>
      </c>
    </row>
    <row r="8" spans="1:5" ht="15.75">
      <c r="A8" s="125" t="s">
        <v>149</v>
      </c>
      <c r="B8" s="124" t="s">
        <v>150</v>
      </c>
      <c r="C8" s="116">
        <v>0</v>
      </c>
      <c r="D8" s="116">
        <v>0</v>
      </c>
      <c r="E8" s="116">
        <v>0</v>
      </c>
    </row>
    <row r="9" spans="1:5" ht="15.75">
      <c r="A9" s="125" t="s">
        <v>151</v>
      </c>
      <c r="B9" s="124" t="s">
        <v>152</v>
      </c>
      <c r="C9" s="116">
        <v>4817977</v>
      </c>
      <c r="D9" s="116">
        <v>0</v>
      </c>
      <c r="E9" s="116">
        <v>0</v>
      </c>
    </row>
    <row r="10" spans="1:5" ht="15.75">
      <c r="A10" s="127"/>
      <c r="B10" s="128" t="s">
        <v>182</v>
      </c>
      <c r="C10" s="120">
        <f>SUM(C7:C9)</f>
        <v>5567337</v>
      </c>
      <c r="D10" s="120">
        <f>SUM(D7:D9)</f>
        <v>5805012</v>
      </c>
      <c r="E10" s="120">
        <f>SUM(E7:E9)</f>
        <v>0</v>
      </c>
    </row>
    <row r="11" spans="2:3" ht="15.75">
      <c r="B11" s="129"/>
      <c r="C11" s="123"/>
    </row>
    <row r="12" spans="1:5" ht="15.75">
      <c r="A12" s="125" t="s">
        <v>160</v>
      </c>
      <c r="B12" s="130" t="s">
        <v>161</v>
      </c>
      <c r="C12" s="116">
        <v>9067029</v>
      </c>
      <c r="D12" s="116">
        <v>336001</v>
      </c>
      <c r="E12" s="116">
        <f>'5.kiadás'!H215+'12.Idősek Otthona kiadás'!G52</f>
        <v>2662050</v>
      </c>
    </row>
    <row r="13" spans="1:5" ht="15.75">
      <c r="A13" s="125" t="s">
        <v>140</v>
      </c>
      <c r="B13" s="130" t="s">
        <v>141</v>
      </c>
      <c r="C13" s="116">
        <v>295240</v>
      </c>
      <c r="D13" s="116">
        <v>6859900</v>
      </c>
      <c r="E13" s="116">
        <f>'5.kiadás'!H216</f>
        <v>1000000</v>
      </c>
    </row>
    <row r="14" spans="1:5" ht="15.75">
      <c r="A14" s="125" t="s">
        <v>162</v>
      </c>
      <c r="B14" s="130" t="s">
        <v>51</v>
      </c>
      <c r="C14" s="116">
        <v>27413</v>
      </c>
      <c r="D14" s="116">
        <v>0</v>
      </c>
      <c r="E14" s="116">
        <v>0</v>
      </c>
    </row>
    <row r="15" spans="1:5" ht="15.75">
      <c r="A15" s="127"/>
      <c r="B15" s="128" t="s">
        <v>183</v>
      </c>
      <c r="C15" s="118">
        <f>SUM(C12:C14)</f>
        <v>9389682</v>
      </c>
      <c r="D15" s="118">
        <f>SUM(D12:D14)</f>
        <v>7195901</v>
      </c>
      <c r="E15" s="118">
        <f>SUM(E12:E14)</f>
        <v>3662050</v>
      </c>
    </row>
    <row r="16" spans="1:5" ht="15.75">
      <c r="A16" s="127"/>
      <c r="B16" s="128"/>
      <c r="C16" s="118"/>
      <c r="D16" s="118"/>
      <c r="E16" s="118"/>
    </row>
    <row r="17" spans="1:5" ht="45.75" customHeight="1">
      <c r="A17" s="131"/>
      <c r="B17" s="132" t="s">
        <v>184</v>
      </c>
      <c r="C17" s="121">
        <f>C10+'7.Táj.adatok műk.'!C11</f>
        <v>110252681</v>
      </c>
      <c r="D17" s="121">
        <f>'7.Táj.adatok műk.'!D11+D10</f>
        <v>120216305</v>
      </c>
      <c r="E17" s="121">
        <f>SUM('7.Táj.adatok műk.'!E11+'8.Táj.adatok felh.'!E10)</f>
        <v>111126778.4</v>
      </c>
    </row>
    <row r="18" spans="1:5" ht="44.25" customHeight="1">
      <c r="A18" s="131"/>
      <c r="B18" s="132" t="s">
        <v>185</v>
      </c>
      <c r="C18" s="121">
        <f>C15+'7.Táj.adatok műk.'!C19</f>
        <v>86857612</v>
      </c>
      <c r="D18" s="121">
        <f>'7.Táj.adatok műk.'!D19+D15</f>
        <v>92228566</v>
      </c>
      <c r="E18" s="121">
        <f>SUM('7.Táj.adatok műk.'!E19+'8.Táj.adatok felh.'!E15)</f>
        <v>111126778.25999999</v>
      </c>
    </row>
    <row r="19" ht="15.75">
      <c r="D19" s="218"/>
    </row>
    <row r="20" ht="15.75">
      <c r="D20" s="218"/>
    </row>
    <row r="21" ht="15.75">
      <c r="D21" s="218"/>
    </row>
  </sheetData>
  <sheetProtection/>
  <mergeCells count="4">
    <mergeCell ref="A6:B6"/>
    <mergeCell ref="A3:D3"/>
    <mergeCell ref="A4:D4"/>
    <mergeCell ref="A1:E1"/>
  </mergeCells>
  <printOptions gridLines="1" headings="1"/>
  <pageMargins left="0.7480314960629921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8"/>
  <sheetViews>
    <sheetView zoomScale="120" zoomScaleNormal="120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36.140625" style="13" customWidth="1"/>
    <col min="2" max="2" width="46.28125" style="13" customWidth="1"/>
    <col min="3" max="3" width="15.8515625" style="13" customWidth="1"/>
    <col min="4" max="16384" width="9.140625" style="13" customWidth="1"/>
  </cols>
  <sheetData>
    <row r="1" spans="1:3" ht="15.75">
      <c r="A1" s="257" t="s">
        <v>331</v>
      </c>
      <c r="B1" s="257"/>
      <c r="C1" s="257"/>
    </row>
    <row r="2" spans="1:3" ht="18" customHeight="1">
      <c r="A2" s="257"/>
      <c r="B2" s="257"/>
      <c r="C2" s="257"/>
    </row>
    <row r="3" spans="1:3" ht="24" customHeight="1">
      <c r="A3" s="234" t="s">
        <v>60</v>
      </c>
      <c r="B3" s="234"/>
      <c r="C3" s="234"/>
    </row>
    <row r="4" spans="1:3" ht="30" customHeight="1">
      <c r="A4" s="234" t="s">
        <v>322</v>
      </c>
      <c r="B4" s="234"/>
      <c r="C4" s="234"/>
    </row>
    <row r="5" spans="1:3" ht="17.25" customHeight="1">
      <c r="A5" s="264" t="s">
        <v>233</v>
      </c>
      <c r="B5" s="264"/>
      <c r="C5" s="264"/>
    </row>
    <row r="6" spans="1:3" ht="31.5" customHeight="1">
      <c r="A6" s="260" t="s">
        <v>174</v>
      </c>
      <c r="B6" s="261"/>
      <c r="C6" s="103" t="s">
        <v>228</v>
      </c>
    </row>
    <row r="7" spans="1:3" ht="34.5" customHeight="1">
      <c r="A7" s="262"/>
      <c r="B7" s="263"/>
      <c r="C7" s="133" t="s">
        <v>229</v>
      </c>
    </row>
    <row r="8" spans="1:3" ht="25.5" customHeight="1">
      <c r="A8" s="265" t="s">
        <v>223</v>
      </c>
      <c r="B8" s="143"/>
      <c r="C8" s="144">
        <v>0</v>
      </c>
    </row>
    <row r="9" spans="1:3" ht="25.5" customHeight="1">
      <c r="A9" s="266"/>
      <c r="B9" s="143"/>
      <c r="C9" s="144">
        <v>0</v>
      </c>
    </row>
    <row r="10" spans="1:3" ht="30" customHeight="1">
      <c r="A10" s="258" t="s">
        <v>226</v>
      </c>
      <c r="B10" s="259"/>
      <c r="C10" s="145">
        <f>SUM(C8:C9)</f>
        <v>0</v>
      </c>
    </row>
    <row r="13" s="14" customFormat="1" ht="15"/>
    <row r="14" s="14" customFormat="1" ht="15.75">
      <c r="C14" s="15"/>
    </row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  <row r="26" s="14" customFormat="1" ht="15"/>
    <row r="27" s="14" customFormat="1" ht="15"/>
    <row r="28" s="14" customFormat="1" ht="15"/>
    <row r="29" s="14" customFormat="1" ht="15"/>
    <row r="30" s="14" customFormat="1" ht="15"/>
    <row r="177" ht="15.75" customHeight="1">
      <c r="C177" s="16"/>
    </row>
    <row r="178" ht="15.75" customHeight="1">
      <c r="C178" s="16"/>
    </row>
  </sheetData>
  <sheetProtection selectLockedCells="1" selectUnlockedCells="1"/>
  <mergeCells count="8">
    <mergeCell ref="A1:C1"/>
    <mergeCell ref="A4:C4"/>
    <mergeCell ref="A3:C3"/>
    <mergeCell ref="A2:C2"/>
    <mergeCell ref="A10:B10"/>
    <mergeCell ref="A6:B7"/>
    <mergeCell ref="A5:C5"/>
    <mergeCell ref="A8:A9"/>
  </mergeCells>
  <printOptions gridLines="1" headings="1" horizontalCentered="1"/>
  <pageMargins left="0.39375" right="0.39375" top="0.7875" bottom="0.7875" header="0.5118055555555555" footer="0.511805555555555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HorvathTamasne</cp:lastModifiedBy>
  <cp:lastPrinted>2019-02-21T13:41:09Z</cp:lastPrinted>
  <dcterms:created xsi:type="dcterms:W3CDTF">2011-11-25T07:46:57Z</dcterms:created>
  <dcterms:modified xsi:type="dcterms:W3CDTF">2019-02-21T13:41:32Z</dcterms:modified>
  <cp:category/>
  <cp:version/>
  <cp:contentType/>
  <cp:contentStatus/>
</cp:coreProperties>
</file>