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SERVER2\kozos\ELŐTERJESZTÉSEK\2020\Mindszentkálla\Polgármesteri döntések\zárszámadás és ahhoz kapcsolódó előterjesztések\zárszámadás 2019\"/>
    </mc:Choice>
  </mc:AlternateContent>
  <xr:revisionPtr revIDLastSave="0" documentId="13_ncr:1_{04845F59-DE36-4F85-80A2-3FAABE23EF7A}" xr6:coauthVersionLast="45" xr6:coauthVersionMax="45" xr10:uidLastSave="{00000000-0000-0000-0000-000000000000}"/>
  <bookViews>
    <workbookView xWindow="-120" yWindow="-120" windowWidth="29040" windowHeight="15840" tabRatio="853" activeTab="5" xr2:uid="{00000000-000D-0000-FFFF-FFFF00000000}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 Idősek Otthona beruházás" sheetId="13" r:id="rId13"/>
    <sheet name="14.Mindszentkálla Önk.Maradvány" sheetId="14" r:id="rId14"/>
    <sheet name="15. Mindszentkálla Önk. Mérleg" sheetId="15" r:id="rId15"/>
    <sheet name="16.Mindszentkálla Önk.Eredmény" sheetId="16" r:id="rId16"/>
    <sheet name="17.Minszentkálla Önk. Tárgyi E." sheetId="17" r:id="rId17"/>
    <sheet name="18.Minszenkálla Személyi jutt." sheetId="18" r:id="rId18"/>
    <sheet name="19.Idősek Otthona Maradványkim." sheetId="19" r:id="rId19"/>
    <sheet name="20. Idősek Otthona Mérleg" sheetId="21" r:id="rId20"/>
    <sheet name="21. Idősek Otthona Eredménykim." sheetId="22" r:id="rId21"/>
    <sheet name="22. Idősek Otthona Tárgyi eszöz" sheetId="23" r:id="rId22"/>
    <sheet name="23.Idősek Otthona Személyi Jut." sheetId="24" r:id="rId23"/>
  </sheets>
  <definedNames>
    <definedName name="Excel_BuiltIn_Print_Area" localSheetId="9">'10. beruházás'!$A$1:$B$17</definedName>
    <definedName name="Excel_BuiltIn_Print_Area" localSheetId="2">'3.bevétel jogc.'!$A$1:$F$56</definedName>
    <definedName name="Excel_BuiltIn_Print_Area" localSheetId="8">'9.felújítás'!$A$2:$C$11</definedName>
    <definedName name="Excel_BuiltIn_Print_Area_1_1">#REF!</definedName>
    <definedName name="Excel_BuiltIn_Print_Area_2_1">#REF!</definedName>
    <definedName name="Excel_BuiltIn_Print_Area_3_1">'5.kiadás'!$A$4:$F$81</definedName>
    <definedName name="_xlnm.Print_Titles" localSheetId="4">'5.kiadás'!$4:$9</definedName>
    <definedName name="_xlnm.Print_Area" localSheetId="0">'1.mérleg'!$A$1:$F$28</definedName>
    <definedName name="_xlnm.Print_Area" localSheetId="9">'10. beruházás'!$A$1:$E$17</definedName>
    <definedName name="_xlnm.Print_Area" localSheetId="10">'11.Idősek Otthona bevétel'!$A$1:$I$38</definedName>
    <definedName name="_xlnm.Print_Area" localSheetId="11">'12.Idősek Otthona kiadás'!$A$1:$J$59</definedName>
    <definedName name="_xlnm.Print_Area" localSheetId="12">'13. Idősek Otthona beruházás'!$A$1:$E$12</definedName>
    <definedName name="_xlnm.Print_Area" localSheetId="1">'2.bevétel'!$A$1:$I$106</definedName>
    <definedName name="_xlnm.Print_Area" localSheetId="2">'3.bevétel jogc.'!$A$1:$I$56</definedName>
    <definedName name="_xlnm.Print_Area" localSheetId="4">'5.kiadás'!$A$1:$K$260</definedName>
    <definedName name="_xlnm.Print_Area" localSheetId="5">'6. kiadás fel.'!$A$1:$E$29</definedName>
    <definedName name="_xlnm.Print_Area" localSheetId="8">'9.felújítás'!$A$1:$F$11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3" l="1"/>
  <c r="I26" i="3" s="1"/>
  <c r="G48" i="3"/>
  <c r="I48" i="3" s="1"/>
  <c r="H48" i="3"/>
  <c r="H26" i="3"/>
  <c r="I24" i="3"/>
  <c r="I25" i="3"/>
  <c r="H55" i="3"/>
  <c r="H54" i="3"/>
  <c r="H53" i="3" s="1"/>
  <c r="H52" i="3" s="1"/>
  <c r="H51" i="3"/>
  <c r="H43" i="3"/>
  <c r="H42" i="3"/>
  <c r="H41" i="3"/>
  <c r="H39" i="3"/>
  <c r="H38" i="3"/>
  <c r="H36" i="3"/>
  <c r="H35" i="3"/>
  <c r="H34" i="3" s="1"/>
  <c r="H23" i="3"/>
  <c r="H22" i="3"/>
  <c r="H16" i="3"/>
  <c r="H15" i="3"/>
  <c r="H14" i="3"/>
  <c r="H13" i="3"/>
  <c r="H80" i="2"/>
  <c r="H49" i="3" s="1"/>
  <c r="H11" i="2"/>
  <c r="H47" i="3" s="1"/>
  <c r="D13" i="10"/>
  <c r="D17" i="10"/>
  <c r="E10" i="10"/>
  <c r="E12" i="10"/>
  <c r="E14" i="10"/>
  <c r="E15" i="10"/>
  <c r="E16" i="10"/>
  <c r="D9" i="10"/>
  <c r="K167" i="5"/>
  <c r="K85" i="5"/>
  <c r="K86" i="5"/>
  <c r="I250" i="5"/>
  <c r="I166" i="5"/>
  <c r="K166" i="5" s="1"/>
  <c r="I156" i="5"/>
  <c r="G97" i="2"/>
  <c r="G69" i="2"/>
  <c r="H46" i="3" l="1"/>
  <c r="H40" i="3"/>
  <c r="H50" i="3"/>
  <c r="H37" i="3"/>
  <c r="I91" i="2"/>
  <c r="I75" i="2"/>
  <c r="I76" i="2"/>
  <c r="I29" i="2"/>
  <c r="I30" i="2"/>
  <c r="I33" i="2"/>
  <c r="I35" i="2"/>
  <c r="I37" i="2"/>
  <c r="I39" i="2"/>
  <c r="H39" i="2"/>
  <c r="H45" i="3" s="1"/>
  <c r="H34" i="2"/>
  <c r="J178" i="5"/>
  <c r="J172" i="5"/>
  <c r="I172" i="5"/>
  <c r="H172" i="5"/>
  <c r="H174" i="5"/>
  <c r="I174" i="5"/>
  <c r="J174" i="5"/>
  <c r="J145" i="5"/>
  <c r="J183" i="5"/>
  <c r="F90" i="2"/>
  <c r="H90" i="2"/>
  <c r="G90" i="2"/>
  <c r="G28" i="3" s="1"/>
  <c r="J212" i="5"/>
  <c r="J210" i="5"/>
  <c r="I93" i="2"/>
  <c r="H92" i="2"/>
  <c r="J198" i="5"/>
  <c r="J70" i="5"/>
  <c r="J80" i="5"/>
  <c r="I82" i="2"/>
  <c r="I83" i="2"/>
  <c r="I85" i="2"/>
  <c r="J77" i="5"/>
  <c r="J113" i="5"/>
  <c r="K115" i="5"/>
  <c r="J111" i="5"/>
  <c r="J116" i="5"/>
  <c r="K116" i="5" s="1"/>
  <c r="H120" i="5"/>
  <c r="H118" i="5" s="1"/>
  <c r="I120" i="5"/>
  <c r="I118" i="5" s="1"/>
  <c r="I116" i="5"/>
  <c r="H116" i="5"/>
  <c r="I113" i="5"/>
  <c r="H113" i="5"/>
  <c r="I111" i="5"/>
  <c r="H111" i="5"/>
  <c r="H56" i="2"/>
  <c r="H17" i="3" s="1"/>
  <c r="I48" i="2"/>
  <c r="I49" i="2"/>
  <c r="I50" i="2"/>
  <c r="I51" i="2"/>
  <c r="I52" i="2"/>
  <c r="I53" i="2"/>
  <c r="I54" i="2"/>
  <c r="I55" i="2"/>
  <c r="I56" i="2"/>
  <c r="I62" i="2"/>
  <c r="I63" i="2"/>
  <c r="I64" i="2"/>
  <c r="I65" i="2"/>
  <c r="H47" i="2"/>
  <c r="H12" i="3" s="1"/>
  <c r="H11" i="3" s="1"/>
  <c r="H46" i="2" l="1"/>
  <c r="H28" i="3"/>
  <c r="H89" i="2"/>
  <c r="C17" i="4" s="1"/>
  <c r="H44" i="3"/>
  <c r="I90" i="2"/>
  <c r="H33" i="3"/>
  <c r="K173" i="5"/>
  <c r="K172" i="5"/>
  <c r="K174" i="5"/>
  <c r="I110" i="5"/>
  <c r="H110" i="5"/>
  <c r="H109" i="5" s="1"/>
  <c r="J118" i="5"/>
  <c r="J110" i="5"/>
  <c r="I109" i="5"/>
  <c r="I240" i="5"/>
  <c r="H240" i="5"/>
  <c r="J243" i="5"/>
  <c r="I243" i="5"/>
  <c r="J241" i="5"/>
  <c r="J240" i="5" s="1"/>
  <c r="I88" i="2"/>
  <c r="J156" i="5"/>
  <c r="I25" i="2"/>
  <c r="J57" i="5"/>
  <c r="I57" i="5"/>
  <c r="H57" i="5"/>
  <c r="K64" i="5"/>
  <c r="H27" i="3" l="1"/>
  <c r="I28" i="3"/>
  <c r="J109" i="5"/>
  <c r="B13" i="6" s="1"/>
  <c r="J239" i="5"/>
  <c r="I70" i="2"/>
  <c r="I69" i="2" s="1"/>
  <c r="I68" i="2" s="1"/>
  <c r="I50" i="5"/>
  <c r="I12" i="2"/>
  <c r="I42" i="2"/>
  <c r="I16" i="2"/>
  <c r="I17" i="2"/>
  <c r="I18" i="2"/>
  <c r="I20" i="2"/>
  <c r="I96" i="2"/>
  <c r="I95" i="2"/>
  <c r="I87" i="2"/>
  <c r="I86" i="2" s="1"/>
  <c r="H96" i="2"/>
  <c r="H95" i="2" s="1"/>
  <c r="B19" i="4" s="1"/>
  <c r="H87" i="2"/>
  <c r="H84" i="2"/>
  <c r="H74" i="2"/>
  <c r="H69" i="2"/>
  <c r="H66" i="2"/>
  <c r="H60" i="2"/>
  <c r="H58" i="2"/>
  <c r="H41" i="2"/>
  <c r="H40" i="2" s="1"/>
  <c r="B11" i="4" s="1"/>
  <c r="H38" i="2"/>
  <c r="H36" i="2"/>
  <c r="H32" i="2"/>
  <c r="H28" i="2"/>
  <c r="H24" i="2"/>
  <c r="H23" i="2" s="1"/>
  <c r="H22" i="2" s="1"/>
  <c r="H21" i="2" s="1"/>
  <c r="H19" i="2"/>
  <c r="H15" i="2"/>
  <c r="J33" i="5"/>
  <c r="J30" i="5" s="1"/>
  <c r="J35" i="5"/>
  <c r="I35" i="5"/>
  <c r="I12" i="5"/>
  <c r="J12" i="5"/>
  <c r="K246" i="5"/>
  <c r="K249" i="5"/>
  <c r="K232" i="5"/>
  <c r="K225" i="5"/>
  <c r="K221" i="5"/>
  <c r="K206" i="5"/>
  <c r="K208" i="5"/>
  <c r="K209" i="5"/>
  <c r="K211" i="5"/>
  <c r="K213" i="5"/>
  <c r="K192" i="5"/>
  <c r="K195" i="5"/>
  <c r="K197" i="5"/>
  <c r="K198" i="5"/>
  <c r="K199" i="5"/>
  <c r="K201" i="5"/>
  <c r="K182" i="5"/>
  <c r="K187" i="5"/>
  <c r="K171" i="5"/>
  <c r="K175" i="5"/>
  <c r="K178" i="5"/>
  <c r="K152" i="5"/>
  <c r="K131" i="5"/>
  <c r="K133" i="5"/>
  <c r="K134" i="5"/>
  <c r="K136" i="5"/>
  <c r="K139" i="5"/>
  <c r="K141" i="5"/>
  <c r="K143" i="5"/>
  <c r="K144" i="5"/>
  <c r="K146" i="5"/>
  <c r="K125" i="5"/>
  <c r="K112" i="5"/>
  <c r="K114" i="5"/>
  <c r="K117" i="5"/>
  <c r="K98" i="5"/>
  <c r="K100" i="5"/>
  <c r="K101" i="5"/>
  <c r="K105" i="5"/>
  <c r="K107" i="5"/>
  <c r="K73" i="5"/>
  <c r="K75" i="5"/>
  <c r="K76" i="5"/>
  <c r="K78" i="5"/>
  <c r="K81" i="5"/>
  <c r="K88" i="5"/>
  <c r="K89" i="5"/>
  <c r="K55" i="5"/>
  <c r="K58" i="5"/>
  <c r="K59" i="5"/>
  <c r="K60" i="5"/>
  <c r="K61" i="5"/>
  <c r="K62" i="5"/>
  <c r="K63" i="5"/>
  <c r="K51" i="5"/>
  <c r="K13" i="5"/>
  <c r="K14" i="5"/>
  <c r="K15" i="5"/>
  <c r="K16" i="5"/>
  <c r="K21" i="5"/>
  <c r="K25" i="5"/>
  <c r="K26" i="5"/>
  <c r="K28" i="5"/>
  <c r="K29" i="5"/>
  <c r="K31" i="5"/>
  <c r="K32" i="5"/>
  <c r="K34" i="5"/>
  <c r="K36" i="5"/>
  <c r="K38" i="5"/>
  <c r="K39" i="5"/>
  <c r="K40" i="5"/>
  <c r="K47" i="5"/>
  <c r="K48" i="5"/>
  <c r="K236" i="5"/>
  <c r="K235" i="5" s="1"/>
  <c r="K90" i="5"/>
  <c r="J248" i="5"/>
  <c r="E9" i="9" s="1"/>
  <c r="E11" i="9" s="1"/>
  <c r="J245" i="5"/>
  <c r="J236" i="5"/>
  <c r="J235" i="5" s="1"/>
  <c r="B26" i="6" s="1"/>
  <c r="J233" i="5"/>
  <c r="J231" i="5"/>
  <c r="J229" i="5"/>
  <c r="J224" i="5"/>
  <c r="J223" i="5" s="1"/>
  <c r="J222" i="5" s="1"/>
  <c r="B24" i="6" s="1"/>
  <c r="J220" i="5"/>
  <c r="J217" i="5"/>
  <c r="J215" i="5" s="1"/>
  <c r="J207" i="5"/>
  <c r="J205" i="5"/>
  <c r="J200" i="5"/>
  <c r="J196" i="5"/>
  <c r="J194" i="5"/>
  <c r="J193" i="5" s="1"/>
  <c r="J190" i="5"/>
  <c r="J186" i="5"/>
  <c r="J181" i="5"/>
  <c r="J177" i="5"/>
  <c r="J176" i="5" s="1"/>
  <c r="J170" i="5"/>
  <c r="J169" i="5" s="1"/>
  <c r="J165" i="5"/>
  <c r="J162" i="5"/>
  <c r="J161" i="5" s="1"/>
  <c r="J160" i="5" s="1"/>
  <c r="B17" i="6" s="1"/>
  <c r="J158" i="5"/>
  <c r="J155" i="5" s="1"/>
  <c r="J150" i="5"/>
  <c r="J142" i="5"/>
  <c r="J138" i="5"/>
  <c r="J135" i="5"/>
  <c r="J132" i="5"/>
  <c r="J130" i="5" s="1"/>
  <c r="J106" i="5"/>
  <c r="J104" i="5"/>
  <c r="J102" i="5"/>
  <c r="J99" i="5" s="1"/>
  <c r="J97" i="5"/>
  <c r="J96" i="5" s="1"/>
  <c r="J92" i="5"/>
  <c r="J91" i="5" s="1"/>
  <c r="J90" i="5" s="1"/>
  <c r="B11" i="6" s="1"/>
  <c r="J87" i="5"/>
  <c r="J83" i="5"/>
  <c r="J74" i="5"/>
  <c r="J72" i="5"/>
  <c r="J69" i="5"/>
  <c r="J67" i="5"/>
  <c r="J66" i="5" s="1"/>
  <c r="J56" i="5"/>
  <c r="J54" i="5"/>
  <c r="J53" i="5" s="1"/>
  <c r="J50" i="5"/>
  <c r="J42" i="5"/>
  <c r="J37" i="5"/>
  <c r="J27" i="5"/>
  <c r="J24" i="5"/>
  <c r="J20" i="5"/>
  <c r="H86" i="2" l="1"/>
  <c r="H31" i="2"/>
  <c r="H27" i="2" s="1"/>
  <c r="H19" i="3"/>
  <c r="H57" i="2"/>
  <c r="H73" i="2"/>
  <c r="H32" i="3"/>
  <c r="H59" i="2"/>
  <c r="H21" i="3"/>
  <c r="H104" i="2"/>
  <c r="H77" i="2"/>
  <c r="K50" i="5"/>
  <c r="H105" i="2"/>
  <c r="K33" i="5"/>
  <c r="K35" i="5"/>
  <c r="J228" i="5"/>
  <c r="J227" i="5" s="1"/>
  <c r="J238" i="5"/>
  <c r="B28" i="6" s="1"/>
  <c r="J129" i="5"/>
  <c r="J149" i="5"/>
  <c r="J23" i="5"/>
  <c r="J22" i="5" s="1"/>
  <c r="J71" i="5"/>
  <c r="J65" i="5" s="1"/>
  <c r="B10" i="6" s="1"/>
  <c r="J123" i="5"/>
  <c r="J140" i="5"/>
  <c r="J204" i="5"/>
  <c r="J203" i="5" s="1"/>
  <c r="J49" i="5"/>
  <c r="B8" i="6" s="1"/>
  <c r="J219" i="5"/>
  <c r="K57" i="5"/>
  <c r="J257" i="5"/>
  <c r="G13" i="8" s="1"/>
  <c r="J95" i="5"/>
  <c r="H14" i="2"/>
  <c r="H45" i="2"/>
  <c r="H68" i="2"/>
  <c r="B14" i="4" s="1"/>
  <c r="K17" i="5"/>
  <c r="K12" i="5"/>
  <c r="J258" i="5"/>
  <c r="J189" i="5"/>
  <c r="J180" i="5"/>
  <c r="J11" i="5"/>
  <c r="J52" i="5"/>
  <c r="B9" i="6" s="1"/>
  <c r="J259" i="5"/>
  <c r="G19" i="7" s="1"/>
  <c r="J41" i="5"/>
  <c r="J255" i="5"/>
  <c r="G17" i="7" s="1"/>
  <c r="J164" i="5"/>
  <c r="B18" i="6" s="1"/>
  <c r="E11" i="13"/>
  <c r="D12" i="13"/>
  <c r="I10" i="12"/>
  <c r="I9" i="12" s="1"/>
  <c r="H10" i="12"/>
  <c r="F14" i="11"/>
  <c r="G14" i="11"/>
  <c r="H14" i="11"/>
  <c r="I19" i="11"/>
  <c r="I16" i="11"/>
  <c r="I33" i="12"/>
  <c r="I29" i="12" s="1"/>
  <c r="H36" i="12"/>
  <c r="I36" i="12"/>
  <c r="J36" i="12" s="1"/>
  <c r="J18" i="12"/>
  <c r="J11" i="12"/>
  <c r="J12" i="12"/>
  <c r="J13" i="12"/>
  <c r="J14" i="12"/>
  <c r="J15" i="12"/>
  <c r="J16" i="12"/>
  <c r="J17" i="12"/>
  <c r="J20" i="12"/>
  <c r="J21" i="12"/>
  <c r="J24" i="12"/>
  <c r="J25" i="12"/>
  <c r="J27" i="12"/>
  <c r="J28" i="12"/>
  <c r="J30" i="12"/>
  <c r="J31" i="12"/>
  <c r="J32" i="12"/>
  <c r="J33" i="12"/>
  <c r="J34" i="12"/>
  <c r="J37" i="12"/>
  <c r="J39" i="12"/>
  <c r="J40" i="12"/>
  <c r="J41" i="12"/>
  <c r="J43" i="12"/>
  <c r="J44" i="12"/>
  <c r="I12" i="11"/>
  <c r="I15" i="11"/>
  <c r="I17" i="11"/>
  <c r="I18" i="11"/>
  <c r="H25" i="11"/>
  <c r="I27" i="11"/>
  <c r="I26" i="11"/>
  <c r="G26" i="11"/>
  <c r="G25" i="11" s="1"/>
  <c r="H47" i="12"/>
  <c r="I47" i="12"/>
  <c r="J49" i="12"/>
  <c r="J48" i="12" s="1"/>
  <c r="J47" i="12" s="1"/>
  <c r="J46" i="12" s="1"/>
  <c r="J50" i="12"/>
  <c r="J52" i="12"/>
  <c r="H51" i="12"/>
  <c r="I51" i="12"/>
  <c r="I30" i="11"/>
  <c r="I29" i="11" s="1"/>
  <c r="I33" i="11"/>
  <c r="I32" i="11"/>
  <c r="I31" i="11" s="1"/>
  <c r="H31" i="11"/>
  <c r="H30" i="11" s="1"/>
  <c r="H29" i="11" s="1"/>
  <c r="H26" i="11"/>
  <c r="H21" i="11"/>
  <c r="H20" i="11" s="1"/>
  <c r="H36" i="11"/>
  <c r="H11" i="11"/>
  <c r="H10" i="11" s="1"/>
  <c r="J51" i="12"/>
  <c r="I46" i="12"/>
  <c r="I45" i="12" s="1"/>
  <c r="I42" i="12"/>
  <c r="I58" i="12" s="1"/>
  <c r="I38" i="12"/>
  <c r="I26" i="12"/>
  <c r="I23" i="12"/>
  <c r="I19" i="12"/>
  <c r="H26" i="2" l="1"/>
  <c r="B10" i="4" s="1"/>
  <c r="H102" i="2"/>
  <c r="G16" i="8"/>
  <c r="G10" i="7"/>
  <c r="I35" i="12"/>
  <c r="G14" i="8"/>
  <c r="B15" i="4"/>
  <c r="B8" i="4"/>
  <c r="B12" i="4"/>
  <c r="H20" i="3"/>
  <c r="H31" i="3"/>
  <c r="H72" i="2"/>
  <c r="J252" i="5"/>
  <c r="H44" i="2"/>
  <c r="H100" i="2" s="1"/>
  <c r="J168" i="5"/>
  <c r="B19" i="6" s="1"/>
  <c r="J188" i="5"/>
  <c r="C21" i="6" s="1"/>
  <c r="J137" i="5"/>
  <c r="J128" i="5" s="1"/>
  <c r="B15" i="6" s="1"/>
  <c r="J179" i="5"/>
  <c r="B20" i="6" s="1"/>
  <c r="J202" i="5"/>
  <c r="C22" i="6" s="1"/>
  <c r="J126" i="5"/>
  <c r="J153" i="5"/>
  <c r="J148" i="5" s="1"/>
  <c r="B16" i="6" s="1"/>
  <c r="J218" i="5"/>
  <c r="B23" i="6" s="1"/>
  <c r="J226" i="5"/>
  <c r="B25" i="6" s="1"/>
  <c r="J94" i="5"/>
  <c r="B12" i="6" s="1"/>
  <c r="J256" i="5"/>
  <c r="G18" i="7" s="1"/>
  <c r="J10" i="5"/>
  <c r="B7" i="6" s="1"/>
  <c r="E7" i="6" s="1"/>
  <c r="H9" i="11"/>
  <c r="C16" i="4" s="1"/>
  <c r="I22" i="12"/>
  <c r="I57" i="12" s="1"/>
  <c r="I56" i="12"/>
  <c r="I25" i="11"/>
  <c r="I28" i="11"/>
  <c r="H37" i="11"/>
  <c r="H28" i="11"/>
  <c r="B9" i="4" s="1"/>
  <c r="H35" i="11"/>
  <c r="I55" i="12"/>
  <c r="E27" i="1"/>
  <c r="E26" i="1"/>
  <c r="E25" i="1"/>
  <c r="E23" i="1"/>
  <c r="E22" i="1"/>
  <c r="E13" i="1"/>
  <c r="C23" i="1"/>
  <c r="C25" i="1"/>
  <c r="C27" i="1"/>
  <c r="B9" i="10"/>
  <c r="C9" i="10"/>
  <c r="E9" i="10" s="1"/>
  <c r="B11" i="10"/>
  <c r="C11" i="10"/>
  <c r="E11" i="10" s="1"/>
  <c r="B13" i="10"/>
  <c r="C13" i="10"/>
  <c r="E13" i="10" s="1"/>
  <c r="B17" i="10"/>
  <c r="C17" i="10"/>
  <c r="E17" i="10" s="1"/>
  <c r="F10" i="11"/>
  <c r="G11" i="11"/>
  <c r="G10" i="11" s="1"/>
  <c r="I10" i="11" s="1"/>
  <c r="F36" i="11"/>
  <c r="I14" i="11"/>
  <c r="G21" i="11"/>
  <c r="F22" i="11"/>
  <c r="F24" i="11"/>
  <c r="F21" i="11" s="1"/>
  <c r="F20" i="11" s="1"/>
  <c r="F37" i="11" s="1"/>
  <c r="F38" i="11" s="1"/>
  <c r="F26" i="11"/>
  <c r="F31" i="11"/>
  <c r="G31" i="11"/>
  <c r="G30" i="11" s="1"/>
  <c r="G29" i="11" s="1"/>
  <c r="F33" i="11"/>
  <c r="F35" i="11"/>
  <c r="G11" i="12"/>
  <c r="G10" i="12" s="1"/>
  <c r="G9" i="12" s="1"/>
  <c r="G13" i="12"/>
  <c r="G17" i="12"/>
  <c r="H19" i="12"/>
  <c r="J19" i="12" s="1"/>
  <c r="G23" i="12"/>
  <c r="H23" i="12"/>
  <c r="J23" i="12" s="1"/>
  <c r="G26" i="12"/>
  <c r="H26" i="12"/>
  <c r="J26" i="12" s="1"/>
  <c r="G29" i="12"/>
  <c r="H29" i="12"/>
  <c r="J29" i="12" s="1"/>
  <c r="G35" i="12"/>
  <c r="H35" i="12"/>
  <c r="J35" i="12" s="1"/>
  <c r="G38" i="12"/>
  <c r="H38" i="12"/>
  <c r="J38" i="12" s="1"/>
  <c r="H42" i="12"/>
  <c r="J42" i="12" s="1"/>
  <c r="G44" i="12"/>
  <c r="G42" i="12"/>
  <c r="G58" i="12" s="1"/>
  <c r="H46" i="12"/>
  <c r="G47" i="12"/>
  <c r="G46" i="12" s="1"/>
  <c r="G51" i="12"/>
  <c r="F54" i="12"/>
  <c r="H58" i="12"/>
  <c r="J58" i="12" s="1"/>
  <c r="B9" i="13"/>
  <c r="B12" i="13" s="1"/>
  <c r="C12" i="13"/>
  <c r="E12" i="13" s="1"/>
  <c r="F10" i="2"/>
  <c r="F9" i="2" s="1"/>
  <c r="F11" i="2"/>
  <c r="G11" i="2"/>
  <c r="G47" i="3" s="1"/>
  <c r="F15" i="2"/>
  <c r="G15" i="2"/>
  <c r="F19" i="2"/>
  <c r="F14" i="2" s="1"/>
  <c r="G19" i="2"/>
  <c r="I19" i="2" s="1"/>
  <c r="F24" i="2"/>
  <c r="F23" i="2"/>
  <c r="F22" i="2" s="1"/>
  <c r="F21" i="2" s="1"/>
  <c r="E9" i="4" s="1"/>
  <c r="G24" i="2"/>
  <c r="I24" i="2" s="1"/>
  <c r="F28" i="2"/>
  <c r="G28" i="2"/>
  <c r="I28" i="2" s="1"/>
  <c r="F32" i="2"/>
  <c r="G32" i="2"/>
  <c r="I32" i="2" s="1"/>
  <c r="F34" i="2"/>
  <c r="G34" i="2"/>
  <c r="I34" i="2" s="1"/>
  <c r="F36" i="2"/>
  <c r="G36" i="2"/>
  <c r="I36" i="2" s="1"/>
  <c r="F38" i="2"/>
  <c r="G38" i="2"/>
  <c r="I38" i="2" s="1"/>
  <c r="F41" i="2"/>
  <c r="F40" i="2" s="1"/>
  <c r="G41" i="2"/>
  <c r="I41" i="2" s="1"/>
  <c r="G46" i="2"/>
  <c r="I46" i="2" s="1"/>
  <c r="F47" i="2"/>
  <c r="F46" i="2" s="1"/>
  <c r="F45" i="2" s="1"/>
  <c r="F44" i="2" s="1"/>
  <c r="F43" i="2" s="1"/>
  <c r="G47" i="2"/>
  <c r="I47" i="2" s="1"/>
  <c r="G58" i="2"/>
  <c r="F59" i="2"/>
  <c r="F57" i="2" s="1"/>
  <c r="G60" i="2"/>
  <c r="I60" i="2" s="1"/>
  <c r="G21" i="3"/>
  <c r="G66" i="2"/>
  <c r="F67" i="2"/>
  <c r="F66" i="2" s="1"/>
  <c r="F69" i="2"/>
  <c r="F72" i="2"/>
  <c r="F71" i="2" s="1"/>
  <c r="G73" i="2"/>
  <c r="G72" i="2" s="1"/>
  <c r="G74" i="2"/>
  <c r="I74" i="2" s="1"/>
  <c r="F78" i="2"/>
  <c r="F80" i="2"/>
  <c r="G80" i="2"/>
  <c r="G84" i="2"/>
  <c r="G87" i="2"/>
  <c r="G86" i="2" s="1"/>
  <c r="E15" i="4" s="1"/>
  <c r="F92" i="2"/>
  <c r="G92" i="2"/>
  <c r="E17" i="4"/>
  <c r="F96" i="2"/>
  <c r="F95" i="2"/>
  <c r="G96" i="2"/>
  <c r="F101" i="2"/>
  <c r="F104" i="2"/>
  <c r="F12" i="3"/>
  <c r="G12" i="3"/>
  <c r="I12" i="3" s="1"/>
  <c r="F13" i="3"/>
  <c r="G13" i="3"/>
  <c r="I13" i="3" s="1"/>
  <c r="F14" i="3"/>
  <c r="G14" i="3"/>
  <c r="I14" i="3" s="1"/>
  <c r="F15" i="3"/>
  <c r="G15" i="3"/>
  <c r="I15" i="3" s="1"/>
  <c r="F16" i="3"/>
  <c r="G16" i="3"/>
  <c r="I16" i="3" s="1"/>
  <c r="F17" i="3"/>
  <c r="G17" i="3"/>
  <c r="I17" i="3" s="1"/>
  <c r="F19" i="3"/>
  <c r="F21" i="3"/>
  <c r="F22" i="3"/>
  <c r="G22" i="3"/>
  <c r="G23" i="3"/>
  <c r="I23" i="3" s="1"/>
  <c r="G27" i="3"/>
  <c r="I27" i="3" s="1"/>
  <c r="F30" i="3"/>
  <c r="G32" i="3"/>
  <c r="G31" i="3" s="1"/>
  <c r="G30" i="3" s="1"/>
  <c r="F35" i="3"/>
  <c r="G35" i="3"/>
  <c r="I35" i="3" s="1"/>
  <c r="F36" i="3"/>
  <c r="G36" i="3"/>
  <c r="I36" i="3" s="1"/>
  <c r="F39" i="3"/>
  <c r="F38" i="3" s="1"/>
  <c r="G39" i="3"/>
  <c r="F41" i="3"/>
  <c r="F40" i="3" s="1"/>
  <c r="G41" i="3"/>
  <c r="F43" i="3"/>
  <c r="F42" i="3" s="1"/>
  <c r="G43" i="3"/>
  <c r="F45" i="3"/>
  <c r="F44" i="3" s="1"/>
  <c r="G45" i="3"/>
  <c r="F48" i="3"/>
  <c r="F50" i="3"/>
  <c r="G51" i="3"/>
  <c r="F54" i="3"/>
  <c r="G54" i="3"/>
  <c r="I54" i="3" s="1"/>
  <c r="F55" i="3"/>
  <c r="G55" i="3"/>
  <c r="I55" i="3" s="1"/>
  <c r="E19" i="4"/>
  <c r="D20" i="4"/>
  <c r="H12" i="5"/>
  <c r="H18" i="5"/>
  <c r="H19" i="5"/>
  <c r="I20" i="5"/>
  <c r="K20" i="5" s="1"/>
  <c r="H24" i="5"/>
  <c r="H23" i="5" s="1"/>
  <c r="I24" i="5"/>
  <c r="H27" i="5"/>
  <c r="I27" i="5"/>
  <c r="K27" i="5" s="1"/>
  <c r="H30" i="5"/>
  <c r="I30" i="5"/>
  <c r="K30" i="5" s="1"/>
  <c r="H37" i="5"/>
  <c r="I37" i="5"/>
  <c r="K37" i="5" s="1"/>
  <c r="I42" i="5"/>
  <c r="I41" i="5" s="1"/>
  <c r="K41" i="5" s="1"/>
  <c r="H44" i="5"/>
  <c r="H42" i="5" s="1"/>
  <c r="H41" i="5" s="1"/>
  <c r="H50" i="5"/>
  <c r="H49" i="5" s="1"/>
  <c r="I49" i="5"/>
  <c r="I54" i="5"/>
  <c r="H55" i="5"/>
  <c r="H54" i="5" s="1"/>
  <c r="H53" i="5" s="1"/>
  <c r="H56" i="5"/>
  <c r="I56" i="5"/>
  <c r="K56" i="5" s="1"/>
  <c r="H68" i="5"/>
  <c r="H67" i="5" s="1"/>
  <c r="H66" i="5" s="1"/>
  <c r="H70" i="5"/>
  <c r="H69" i="5" s="1"/>
  <c r="I70" i="5"/>
  <c r="H72" i="5"/>
  <c r="I72" i="5"/>
  <c r="K72" i="5" s="1"/>
  <c r="H77" i="5"/>
  <c r="H74" i="5" s="1"/>
  <c r="I77" i="5"/>
  <c r="H80" i="5"/>
  <c r="I80" i="5"/>
  <c r="K80" i="5" s="1"/>
  <c r="H83" i="5"/>
  <c r="I83" i="5"/>
  <c r="H87" i="5"/>
  <c r="I87" i="5"/>
  <c r="K87" i="5" s="1"/>
  <c r="H92" i="5"/>
  <c r="H91" i="5" s="1"/>
  <c r="H90" i="5" s="1"/>
  <c r="I92" i="5"/>
  <c r="I91" i="5" s="1"/>
  <c r="I90" i="5" s="1"/>
  <c r="E11" i="6" s="1"/>
  <c r="H97" i="5"/>
  <c r="H96" i="5" s="1"/>
  <c r="I97" i="5"/>
  <c r="H99" i="5"/>
  <c r="I103" i="5"/>
  <c r="H104" i="5"/>
  <c r="I104" i="5"/>
  <c r="K104" i="5" s="1"/>
  <c r="H108" i="5"/>
  <c r="H106" i="5" s="1"/>
  <c r="I108" i="5"/>
  <c r="K111" i="5"/>
  <c r="K113" i="5"/>
  <c r="K119" i="5"/>
  <c r="H124" i="5"/>
  <c r="H127" i="5" s="1"/>
  <c r="H126" i="5" s="1"/>
  <c r="I124" i="5"/>
  <c r="I127" i="5" s="1"/>
  <c r="H130" i="5"/>
  <c r="H129" i="5" s="1"/>
  <c r="I132" i="5"/>
  <c r="H135" i="5"/>
  <c r="I135" i="5"/>
  <c r="K135" i="5" s="1"/>
  <c r="H138" i="5"/>
  <c r="I138" i="5"/>
  <c r="K138" i="5" s="1"/>
  <c r="H142" i="5"/>
  <c r="H140" i="5" s="1"/>
  <c r="I142" i="5"/>
  <c r="H145" i="5"/>
  <c r="I145" i="5"/>
  <c r="K145" i="5" s="1"/>
  <c r="H151" i="5"/>
  <c r="H150" i="5" s="1"/>
  <c r="H154" i="5" s="1"/>
  <c r="H153" i="5" s="1"/>
  <c r="I151" i="5"/>
  <c r="H155" i="5"/>
  <c r="I158" i="5"/>
  <c r="H162" i="5"/>
  <c r="H161" i="5" s="1"/>
  <c r="H160" i="5" s="1"/>
  <c r="I162" i="5"/>
  <c r="I161" i="5" s="1"/>
  <c r="I160" i="5" s="1"/>
  <c r="E17" i="6" s="1"/>
  <c r="H165" i="5"/>
  <c r="H164" i="5" s="1"/>
  <c r="I165" i="5"/>
  <c r="K165" i="5" s="1"/>
  <c r="K164" i="5" s="1"/>
  <c r="H170" i="5"/>
  <c r="I170" i="5"/>
  <c r="H177" i="5"/>
  <c r="H176" i="5" s="1"/>
  <c r="I177" i="5"/>
  <c r="I181" i="5"/>
  <c r="K181" i="5" s="1"/>
  <c r="I184" i="5"/>
  <c r="H186" i="5"/>
  <c r="H180" i="5" s="1"/>
  <c r="H179" i="5" s="1"/>
  <c r="I186" i="5"/>
  <c r="K186" i="5" s="1"/>
  <c r="H191" i="5"/>
  <c r="H190" i="5" s="1"/>
  <c r="I191" i="5"/>
  <c r="H194" i="5"/>
  <c r="H193" i="5" s="1"/>
  <c r="I194" i="5"/>
  <c r="H196" i="5"/>
  <c r="I196" i="5"/>
  <c r="K196" i="5" s="1"/>
  <c r="H200" i="5"/>
  <c r="I200" i="5"/>
  <c r="K200" i="5" s="1"/>
  <c r="H205" i="5"/>
  <c r="H204" i="5" s="1"/>
  <c r="I205" i="5"/>
  <c r="H210" i="5"/>
  <c r="H207" i="5" s="1"/>
  <c r="I210" i="5"/>
  <c r="H212" i="5"/>
  <c r="I212" i="5"/>
  <c r="K212" i="5" s="1"/>
  <c r="H217" i="5"/>
  <c r="H215" i="5" s="1"/>
  <c r="H258" i="5" s="1"/>
  <c r="E14" i="8" s="1"/>
  <c r="E16" i="8" s="1"/>
  <c r="I217" i="5"/>
  <c r="I215" i="5" s="1"/>
  <c r="H220" i="5"/>
  <c r="H219" i="5" s="1"/>
  <c r="H218" i="5" s="1"/>
  <c r="I220" i="5"/>
  <c r="H224" i="5"/>
  <c r="H223" i="5" s="1"/>
  <c r="H222" i="5" s="1"/>
  <c r="I224" i="5"/>
  <c r="K224" i="5" s="1"/>
  <c r="H229" i="5"/>
  <c r="H228" i="5" s="1"/>
  <c r="I231" i="5"/>
  <c r="I233" i="5"/>
  <c r="H236" i="5"/>
  <c r="H235" i="5" s="1"/>
  <c r="I236" i="5"/>
  <c r="I235" i="5" s="1"/>
  <c r="E26" i="6" s="1"/>
  <c r="H247" i="5"/>
  <c r="H245" i="5" s="1"/>
  <c r="I247" i="5"/>
  <c r="H250" i="5"/>
  <c r="H248" i="5" s="1"/>
  <c r="K250" i="5"/>
  <c r="G251" i="5"/>
  <c r="D7" i="7"/>
  <c r="D8" i="7"/>
  <c r="D9" i="7"/>
  <c r="D10" i="7"/>
  <c r="E10" i="7"/>
  <c r="C13" i="1" s="1"/>
  <c r="D11" i="7"/>
  <c r="C12" i="7"/>
  <c r="D14" i="7"/>
  <c r="D15" i="7"/>
  <c r="D16" i="7"/>
  <c r="D17" i="7"/>
  <c r="D18" i="7"/>
  <c r="C20" i="7"/>
  <c r="D8" i="8"/>
  <c r="E8" i="8"/>
  <c r="E11" i="8" s="1"/>
  <c r="C15" i="1"/>
  <c r="C14" i="1" s="1"/>
  <c r="C11" i="8"/>
  <c r="D11" i="8"/>
  <c r="C16" i="8"/>
  <c r="D16" i="8"/>
  <c r="C11" i="9"/>
  <c r="G71" i="2"/>
  <c r="G101" i="2"/>
  <c r="F8" i="8" s="1"/>
  <c r="G20" i="12"/>
  <c r="G19" i="12"/>
  <c r="G56" i="12" s="1"/>
  <c r="H22" i="12"/>
  <c r="G68" i="2"/>
  <c r="E14" i="4" s="1"/>
  <c r="G11" i="3"/>
  <c r="I11" i="3" s="1"/>
  <c r="F89" i="2"/>
  <c r="F47" i="3"/>
  <c r="G59" i="2"/>
  <c r="I59" i="2" s="1"/>
  <c r="H56" i="12"/>
  <c r="J56" i="12" s="1"/>
  <c r="G55" i="12"/>
  <c r="C19" i="8" l="1"/>
  <c r="G42" i="3"/>
  <c r="I42" i="3" s="1"/>
  <c r="I43" i="3"/>
  <c r="G38" i="3"/>
  <c r="I38" i="3" s="1"/>
  <c r="I39" i="3"/>
  <c r="G89" i="2"/>
  <c r="I92" i="2"/>
  <c r="I89" i="2" s="1"/>
  <c r="G104" i="2"/>
  <c r="I84" i="2"/>
  <c r="I72" i="2"/>
  <c r="I71" i="2" s="1"/>
  <c r="H71" i="2"/>
  <c r="B18" i="4" s="1"/>
  <c r="E18" i="4" s="1"/>
  <c r="H101" i="2"/>
  <c r="I32" i="3"/>
  <c r="G49" i="3"/>
  <c r="I49" i="3" s="1"/>
  <c r="I80" i="2"/>
  <c r="G19" i="3"/>
  <c r="I19" i="3" s="1"/>
  <c r="G57" i="2"/>
  <c r="I57" i="2" s="1"/>
  <c r="I58" i="2"/>
  <c r="G14" i="2"/>
  <c r="I14" i="2" s="1"/>
  <c r="I15" i="2"/>
  <c r="G22" i="12"/>
  <c r="G57" i="12" s="1"/>
  <c r="G59" i="12" s="1"/>
  <c r="G7" i="7"/>
  <c r="E10" i="1" s="1"/>
  <c r="H30" i="3"/>
  <c r="I30" i="3" s="1"/>
  <c r="I31" i="3"/>
  <c r="I11" i="11"/>
  <c r="G44" i="3"/>
  <c r="I44" i="3" s="1"/>
  <c r="I45" i="3"/>
  <c r="G40" i="3"/>
  <c r="I40" i="3" s="1"/>
  <c r="I41" i="3"/>
  <c r="G20" i="3"/>
  <c r="F31" i="2"/>
  <c r="G14" i="7"/>
  <c r="E19" i="1" s="1"/>
  <c r="H18" i="3"/>
  <c r="I20" i="3"/>
  <c r="G45" i="2"/>
  <c r="G44" i="2" s="1"/>
  <c r="G50" i="3"/>
  <c r="I50" i="3" s="1"/>
  <c r="I51" i="3"/>
  <c r="G77" i="2"/>
  <c r="G23" i="2"/>
  <c r="G105" i="2" s="1"/>
  <c r="G46" i="3"/>
  <c r="I47" i="3"/>
  <c r="G45" i="12"/>
  <c r="F30" i="11"/>
  <c r="F29" i="11" s="1"/>
  <c r="F28" i="11" s="1"/>
  <c r="I73" i="2"/>
  <c r="I21" i="3"/>
  <c r="G8" i="7"/>
  <c r="E11" i="1" s="1"/>
  <c r="F103" i="2"/>
  <c r="E9" i="7" s="1"/>
  <c r="C12" i="1" s="1"/>
  <c r="D15" i="1"/>
  <c r="D14" i="1" s="1"/>
  <c r="G10" i="2"/>
  <c r="E24" i="1"/>
  <c r="C18" i="8"/>
  <c r="D20" i="7"/>
  <c r="D19" i="8" s="1"/>
  <c r="K170" i="5"/>
  <c r="I169" i="5"/>
  <c r="K83" i="5"/>
  <c r="G95" i="2"/>
  <c r="G100" i="2"/>
  <c r="I100" i="2" s="1"/>
  <c r="G31" i="2"/>
  <c r="I31" i="2" s="1"/>
  <c r="I223" i="5"/>
  <c r="K223" i="5" s="1"/>
  <c r="G37" i="3"/>
  <c r="I37" i="3" s="1"/>
  <c r="I46" i="3"/>
  <c r="F11" i="8"/>
  <c r="G53" i="3"/>
  <c r="F53" i="3"/>
  <c r="F52" i="3" s="1"/>
  <c r="G34" i="3"/>
  <c r="I34" i="3" s="1"/>
  <c r="F20" i="3"/>
  <c r="F18" i="3" s="1"/>
  <c r="G22" i="2"/>
  <c r="I23" i="2"/>
  <c r="H22" i="5"/>
  <c r="H71" i="5"/>
  <c r="H65" i="5" s="1"/>
  <c r="I45" i="2"/>
  <c r="I44" i="2"/>
  <c r="H43" i="2"/>
  <c r="B13" i="4" s="1"/>
  <c r="I126" i="5"/>
  <c r="K127" i="5"/>
  <c r="I245" i="5"/>
  <c r="K247" i="5"/>
  <c r="I228" i="5"/>
  <c r="K231" i="5"/>
  <c r="I248" i="5"/>
  <c r="I204" i="5"/>
  <c r="K205" i="5"/>
  <c r="I190" i="5"/>
  <c r="K190" i="5" s="1"/>
  <c r="K191" i="5"/>
  <c r="H169" i="5"/>
  <c r="H168" i="5" s="1"/>
  <c r="I150" i="5"/>
  <c r="K150" i="5" s="1"/>
  <c r="K151" i="5"/>
  <c r="I140" i="5"/>
  <c r="K142" i="5"/>
  <c r="H123" i="5"/>
  <c r="H122" i="5" s="1"/>
  <c r="H121" i="5" s="1"/>
  <c r="I69" i="5"/>
  <c r="K69" i="5" s="1"/>
  <c r="K70" i="5"/>
  <c r="J122" i="5"/>
  <c r="J254" i="5" s="1"/>
  <c r="G16" i="7" s="1"/>
  <c r="K126" i="5"/>
  <c r="I102" i="5"/>
  <c r="K103" i="5"/>
  <c r="I74" i="5"/>
  <c r="K74" i="5" s="1"/>
  <c r="K77" i="5"/>
  <c r="I222" i="5"/>
  <c r="I96" i="5"/>
  <c r="K96" i="5" s="1"/>
  <c r="K97" i="5"/>
  <c r="I176" i="5"/>
  <c r="K176" i="5" s="1"/>
  <c r="K177" i="5"/>
  <c r="I207" i="5"/>
  <c r="K207" i="5" s="1"/>
  <c r="K210" i="5"/>
  <c r="I193" i="5"/>
  <c r="K193" i="5" s="1"/>
  <c r="K194" i="5"/>
  <c r="I155" i="5"/>
  <c r="I130" i="5"/>
  <c r="K132" i="5"/>
  <c r="I123" i="5"/>
  <c r="K123" i="5" s="1"/>
  <c r="K124" i="5"/>
  <c r="I106" i="5"/>
  <c r="K106" i="5" s="1"/>
  <c r="K108" i="5"/>
  <c r="I67" i="5"/>
  <c r="K68" i="5"/>
  <c r="I23" i="5"/>
  <c r="K23" i="5" s="1"/>
  <c r="K24" i="5"/>
  <c r="I219" i="5"/>
  <c r="K220" i="5"/>
  <c r="D25" i="6" s="1"/>
  <c r="D29" i="6" s="1"/>
  <c r="J253" i="5"/>
  <c r="G15" i="7" s="1"/>
  <c r="E20" i="1" s="1"/>
  <c r="I53" i="5"/>
  <c r="K53" i="5" s="1"/>
  <c r="K54" i="5"/>
  <c r="H52" i="5"/>
  <c r="E8" i="6"/>
  <c r="K49" i="5"/>
  <c r="G40" i="2"/>
  <c r="H255" i="5"/>
  <c r="E17" i="7" s="1"/>
  <c r="C22" i="1" s="1"/>
  <c r="H95" i="5"/>
  <c r="H94" i="5" s="1"/>
  <c r="I259" i="5"/>
  <c r="I180" i="5"/>
  <c r="H257" i="5"/>
  <c r="H137" i="5"/>
  <c r="H128" i="5" s="1"/>
  <c r="I11" i="5"/>
  <c r="G36" i="11"/>
  <c r="I36" i="11" s="1"/>
  <c r="G20" i="11"/>
  <c r="H34" i="11"/>
  <c r="H259" i="5"/>
  <c r="I8" i="12"/>
  <c r="H57" i="12"/>
  <c r="J57" i="12" s="1"/>
  <c r="J22" i="12"/>
  <c r="I59" i="12"/>
  <c r="H9" i="12"/>
  <c r="J9" i="12" s="1"/>
  <c r="J10" i="12"/>
  <c r="H45" i="12"/>
  <c r="J45" i="12" s="1"/>
  <c r="H38" i="11"/>
  <c r="E8" i="4"/>
  <c r="G43" i="2"/>
  <c r="E13" i="4" s="1"/>
  <c r="H55" i="12"/>
  <c r="F9" i="11"/>
  <c r="F34" i="11" s="1"/>
  <c r="H189" i="5"/>
  <c r="H256" i="5"/>
  <c r="F11" i="3"/>
  <c r="F105" i="2"/>
  <c r="E11" i="7" s="1"/>
  <c r="C16" i="1" s="1"/>
  <c r="F68" i="2"/>
  <c r="G8" i="12"/>
  <c r="C26" i="1"/>
  <c r="C24" i="1" s="1"/>
  <c r="D12" i="7"/>
  <c r="D18" i="8" s="1"/>
  <c r="H203" i="5"/>
  <c r="H202" i="5" s="1"/>
  <c r="H17" i="5"/>
  <c r="H21" i="5" s="1"/>
  <c r="H20" i="5" s="1"/>
  <c r="H253" i="5" s="1"/>
  <c r="E15" i="7" s="1"/>
  <c r="C20" i="1" s="1"/>
  <c r="F27" i="2"/>
  <c r="I164" i="5"/>
  <c r="E18" i="6" s="1"/>
  <c r="H149" i="5"/>
  <c r="H148" i="5" s="1"/>
  <c r="F88" i="2" s="1"/>
  <c r="F37" i="3"/>
  <c r="F34" i="3"/>
  <c r="F77" i="2"/>
  <c r="F49" i="3"/>
  <c r="F46" i="3" s="1"/>
  <c r="G18" i="3"/>
  <c r="G10" i="3" s="1"/>
  <c r="G28" i="11"/>
  <c r="G37" i="11"/>
  <c r="G35" i="11"/>
  <c r="G38" i="11" s="1"/>
  <c r="E12" i="4" l="1"/>
  <c r="I77" i="2"/>
  <c r="I35" i="11"/>
  <c r="G8" i="8"/>
  <c r="I101" i="2"/>
  <c r="F10" i="7"/>
  <c r="I104" i="2"/>
  <c r="I53" i="12"/>
  <c r="C27" i="6"/>
  <c r="C29" i="6" s="1"/>
  <c r="G52" i="3"/>
  <c r="I52" i="3" s="1"/>
  <c r="I53" i="3"/>
  <c r="I18" i="3"/>
  <c r="H10" i="3"/>
  <c r="H9" i="3" s="1"/>
  <c r="H56" i="3" s="1"/>
  <c r="H8" i="12"/>
  <c r="G27" i="2"/>
  <c r="G53" i="12"/>
  <c r="I168" i="5"/>
  <c r="I105" i="2"/>
  <c r="G11" i="7"/>
  <c r="E16" i="1" s="1"/>
  <c r="J260" i="5"/>
  <c r="G9" i="3"/>
  <c r="I10" i="3"/>
  <c r="G20" i="7"/>
  <c r="G19" i="8" s="1"/>
  <c r="E21" i="1"/>
  <c r="E18" i="1" s="1"/>
  <c r="E28" i="1" s="1"/>
  <c r="G103" i="2"/>
  <c r="G9" i="2"/>
  <c r="I257" i="5"/>
  <c r="I255" i="5"/>
  <c r="F17" i="7" s="1"/>
  <c r="G33" i="3"/>
  <c r="I33" i="3" s="1"/>
  <c r="G26" i="2"/>
  <c r="I256" i="5"/>
  <c r="F18" i="7" s="1"/>
  <c r="I189" i="5"/>
  <c r="K189" i="5" s="1"/>
  <c r="I22" i="5"/>
  <c r="K22" i="5" s="1"/>
  <c r="I43" i="2"/>
  <c r="F10" i="3"/>
  <c r="G21" i="2"/>
  <c r="I22" i="2"/>
  <c r="I21" i="2" s="1"/>
  <c r="I154" i="5"/>
  <c r="K154" i="5" s="1"/>
  <c r="I71" i="5"/>
  <c r="K71" i="5" s="1"/>
  <c r="I52" i="5"/>
  <c r="K52" i="5" s="1"/>
  <c r="I149" i="5"/>
  <c r="K149" i="5" s="1"/>
  <c r="K245" i="5"/>
  <c r="I238" i="5"/>
  <c r="G99" i="2"/>
  <c r="I66" i="5"/>
  <c r="K66" i="5" s="1"/>
  <c r="K67" i="5"/>
  <c r="D9" i="9"/>
  <c r="D11" i="9" s="1"/>
  <c r="K248" i="5"/>
  <c r="I179" i="5"/>
  <c r="K180" i="5"/>
  <c r="I137" i="5"/>
  <c r="K137" i="5" s="1"/>
  <c r="K140" i="5"/>
  <c r="K169" i="5"/>
  <c r="I129" i="5"/>
  <c r="K130" i="5"/>
  <c r="J121" i="5"/>
  <c r="B14" i="6" s="1"/>
  <c r="B29" i="6" s="1"/>
  <c r="K255" i="5"/>
  <c r="I153" i="5"/>
  <c r="K118" i="5"/>
  <c r="K120" i="5"/>
  <c r="I258" i="5"/>
  <c r="I122" i="5"/>
  <c r="I121" i="5" s="1"/>
  <c r="E24" i="6"/>
  <c r="K222" i="5"/>
  <c r="I99" i="5"/>
  <c r="K99" i="5" s="1"/>
  <c r="K102" i="5"/>
  <c r="I203" i="5"/>
  <c r="K204" i="5"/>
  <c r="I227" i="5"/>
  <c r="K227" i="5" s="1"/>
  <c r="K228" i="5"/>
  <c r="I218" i="5"/>
  <c r="K219" i="5"/>
  <c r="F19" i="7"/>
  <c r="K259" i="5"/>
  <c r="E11" i="4"/>
  <c r="I40" i="2"/>
  <c r="K11" i="5"/>
  <c r="H11" i="5"/>
  <c r="H252" i="5" s="1"/>
  <c r="F11" i="7"/>
  <c r="H11" i="7" s="1"/>
  <c r="I37" i="11"/>
  <c r="F9" i="7"/>
  <c r="I38" i="11"/>
  <c r="G9" i="11"/>
  <c r="I9" i="11" s="1"/>
  <c r="J8" i="12"/>
  <c r="H59" i="12"/>
  <c r="J59" i="12" s="1"/>
  <c r="J55" i="12"/>
  <c r="F26" i="2"/>
  <c r="F102" i="2"/>
  <c r="E8" i="7" s="1"/>
  <c r="C11" i="1" s="1"/>
  <c r="F7" i="7"/>
  <c r="H7" i="7" s="1"/>
  <c r="F10" i="1" s="1"/>
  <c r="H254" i="5"/>
  <c r="E16" i="7" s="1"/>
  <c r="C21" i="1" s="1"/>
  <c r="H188" i="5"/>
  <c r="H53" i="12"/>
  <c r="J53" i="12" s="1"/>
  <c r="F28" i="3"/>
  <c r="F27" i="3" s="1"/>
  <c r="F9" i="3" s="1"/>
  <c r="F87" i="2"/>
  <c r="F33" i="3"/>
  <c r="G102" i="2" l="1"/>
  <c r="I27" i="2"/>
  <c r="I26" i="2" s="1"/>
  <c r="G11" i="8"/>
  <c r="H11" i="8" s="1"/>
  <c r="E15" i="1"/>
  <c r="E14" i="1" s="1"/>
  <c r="H8" i="8"/>
  <c r="F15" i="1" s="1"/>
  <c r="F14" i="1" s="1"/>
  <c r="E14" i="6"/>
  <c r="H10" i="7"/>
  <c r="F13" i="1" s="1"/>
  <c r="D13" i="1"/>
  <c r="K256" i="5"/>
  <c r="I9" i="3"/>
  <c r="G56" i="3"/>
  <c r="I56" i="3" s="1"/>
  <c r="D12" i="1"/>
  <c r="D27" i="1"/>
  <c r="H19" i="7"/>
  <c r="F27" i="1" s="1"/>
  <c r="D23" i="1"/>
  <c r="H18" i="7"/>
  <c r="F23" i="1" s="1"/>
  <c r="D16" i="1"/>
  <c r="F16" i="1"/>
  <c r="D22" i="1"/>
  <c r="H17" i="7"/>
  <c r="F22" i="1" s="1"/>
  <c r="I226" i="5"/>
  <c r="I10" i="5"/>
  <c r="K10" i="5" s="1"/>
  <c r="E9" i="6"/>
  <c r="I188" i="5"/>
  <c r="K188" i="5" s="1"/>
  <c r="I252" i="5"/>
  <c r="K252" i="5" s="1"/>
  <c r="I65" i="5"/>
  <c r="K65" i="5" s="1"/>
  <c r="K122" i="5"/>
  <c r="K203" i="5"/>
  <c r="I202" i="5"/>
  <c r="K121" i="5"/>
  <c r="E19" i="6"/>
  <c r="K168" i="5"/>
  <c r="E28" i="6"/>
  <c r="K238" i="5"/>
  <c r="E10" i="6"/>
  <c r="F13" i="8"/>
  <c r="H13" i="8" s="1"/>
  <c r="K257" i="5"/>
  <c r="I95" i="5"/>
  <c r="I254" i="5" s="1"/>
  <c r="E20" i="6"/>
  <c r="K179" i="5"/>
  <c r="H10" i="5"/>
  <c r="H251" i="5" s="1"/>
  <c r="I253" i="5"/>
  <c r="K153" i="5"/>
  <c r="I148" i="5"/>
  <c r="F14" i="8"/>
  <c r="D26" i="1" s="1"/>
  <c r="K258" i="5"/>
  <c r="H14" i="8" s="1"/>
  <c r="F26" i="1" s="1"/>
  <c r="K129" i="5"/>
  <c r="I128" i="5"/>
  <c r="E21" i="6"/>
  <c r="E23" i="6"/>
  <c r="K218" i="5"/>
  <c r="E25" i="6"/>
  <c r="K226" i="5"/>
  <c r="F56" i="3"/>
  <c r="G34" i="11"/>
  <c r="I34" i="11" s="1"/>
  <c r="E16" i="4"/>
  <c r="F100" i="2"/>
  <c r="F86" i="2"/>
  <c r="F99" i="2" s="1"/>
  <c r="D10" i="1"/>
  <c r="E27" i="6"/>
  <c r="H260" i="5"/>
  <c r="E14" i="7"/>
  <c r="F8" i="7" l="1"/>
  <c r="I102" i="2"/>
  <c r="G106" i="2"/>
  <c r="H16" i="8"/>
  <c r="F25" i="1"/>
  <c r="F24" i="1" s="1"/>
  <c r="F14" i="7"/>
  <c r="F16" i="8"/>
  <c r="D25" i="1"/>
  <c r="D24" i="1" s="1"/>
  <c r="F15" i="7"/>
  <c r="K253" i="5"/>
  <c r="I94" i="5"/>
  <c r="K95" i="5"/>
  <c r="E22" i="6"/>
  <c r="K202" i="5"/>
  <c r="E15" i="6"/>
  <c r="K128" i="5"/>
  <c r="E16" i="6"/>
  <c r="K148" i="5"/>
  <c r="C20" i="4"/>
  <c r="E20" i="7"/>
  <c r="E19" i="8" s="1"/>
  <c r="C19" i="1"/>
  <c r="C18" i="1" s="1"/>
  <c r="C28" i="1" s="1"/>
  <c r="E10" i="4"/>
  <c r="F106" i="2"/>
  <c r="E7" i="7"/>
  <c r="H8" i="7" l="1"/>
  <c r="F11" i="1" s="1"/>
  <c r="D11" i="1"/>
  <c r="D9" i="1" s="1"/>
  <c r="D17" i="1" s="1"/>
  <c r="F12" i="7"/>
  <c r="F18" i="8" s="1"/>
  <c r="D20" i="1"/>
  <c r="H15" i="7"/>
  <c r="F20" i="1" s="1"/>
  <c r="D19" i="1"/>
  <c r="H14" i="7"/>
  <c r="F19" i="1" s="1"/>
  <c r="K94" i="5"/>
  <c r="C10" i="1"/>
  <c r="C9" i="1" s="1"/>
  <c r="C17" i="1" s="1"/>
  <c r="E12" i="7"/>
  <c r="E18" i="8" s="1"/>
  <c r="E12" i="6" l="1"/>
  <c r="I251" i="5"/>
  <c r="I260" i="5"/>
  <c r="F16" i="7"/>
  <c r="J251" i="5"/>
  <c r="K109" i="5"/>
  <c r="K110" i="5"/>
  <c r="K254" i="5"/>
  <c r="F20" i="7" l="1"/>
  <c r="H16" i="7"/>
  <c r="F21" i="1" s="1"/>
  <c r="F18" i="1" s="1"/>
  <c r="D21" i="1"/>
  <c r="D18" i="1" s="1"/>
  <c r="D28" i="1" s="1"/>
  <c r="F28" i="1" s="1"/>
  <c r="K251" i="5"/>
  <c r="E13" i="6"/>
  <c r="E29" i="6" s="1"/>
  <c r="K260" i="5"/>
  <c r="F19" i="8" l="1"/>
  <c r="H19" i="8" s="1"/>
  <c r="H20" i="7"/>
  <c r="I11" i="2"/>
  <c r="H10" i="2"/>
  <c r="H103" i="2" s="1"/>
  <c r="H106" i="2" l="1"/>
  <c r="I106" i="2" s="1"/>
  <c r="G9" i="7"/>
  <c r="I103" i="2"/>
  <c r="I10" i="2"/>
  <c r="I9" i="2" s="1"/>
  <c r="H9" i="2"/>
  <c r="H99" i="2" l="1"/>
  <c r="I99" i="2" s="1"/>
  <c r="B7" i="4"/>
  <c r="H9" i="7"/>
  <c r="F12" i="1" s="1"/>
  <c r="E12" i="1"/>
  <c r="E9" i="1" s="1"/>
  <c r="G12" i="7"/>
  <c r="B20" i="4" l="1"/>
  <c r="E7" i="4"/>
  <c r="E20" i="4" s="1"/>
  <c r="H12" i="7"/>
  <c r="G18" i="8"/>
  <c r="H18" i="8" s="1"/>
  <c r="E17" i="1"/>
  <c r="F17" i="1" s="1"/>
  <c r="F9" i="1"/>
</calcChain>
</file>

<file path=xl/sharedStrings.xml><?xml version="1.0" encoding="utf-8"?>
<sst xmlns="http://schemas.openxmlformats.org/spreadsheetml/2006/main" count="1648" uniqueCount="626">
  <si>
    <t>MINDSZENTKÁLLA KÖZSÉG ÖNKORMÁNYZATA</t>
  </si>
  <si>
    <t>2019. évi Költségvetés Mérlege</t>
  </si>
  <si>
    <t>Előirányzatok</t>
  </si>
  <si>
    <t>Előirányzat    (Ft)</t>
  </si>
  <si>
    <t>eredeti</t>
  </si>
  <si>
    <t>módosított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</si>
  <si>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</si>
  <si>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</si>
  <si>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</si>
  <si>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</si>
  <si>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</si>
  <si>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</si>
  <si>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</si>
  <si>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</si>
  <si>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</si>
  <si>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</si>
  <si>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</si>
  <si>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</si>
  <si>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B8</t>
  </si>
  <si>
    <t>Finanszírozási bevételek</t>
  </si>
  <si>
    <t>BEVÉTELEK összesen:</t>
  </si>
  <si>
    <t>Működési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</si>
  <si>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</si>
  <si>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</si>
  <si>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</si>
  <si>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</si>
  <si>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</si>
  <si>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</si>
  <si>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</si>
  <si>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</si>
  <si>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</si>
  <si>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</si>
  <si>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</si>
  <si>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</si>
  <si>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</si>
  <si>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</si>
  <si>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</si>
  <si>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K9</t>
  </si>
  <si>
    <t>Finanszírozási kiadások</t>
  </si>
  <si>
    <t>KIADÁSOK ÖSSZESEN</t>
  </si>
  <si>
    <t>2019. évi költségvetés bevételei</t>
  </si>
  <si>
    <t>Kiemelt előirányzatok</t>
  </si>
  <si>
    <t>Előirányzat (Ft)</t>
  </si>
  <si>
    <t>013350 Az önkormányzati vagyonnal való gazdálkodással kapcsolatos feladatok</t>
  </si>
  <si>
    <t>B402</t>
  </si>
  <si>
    <t>Szolgáltatások ellenértéke</t>
  </si>
  <si>
    <t>Tárgyi eszközök bérbeadásából származó bevétel</t>
  </si>
  <si>
    <t xml:space="preserve">011130 Önkormányzatok és önkormányzati hivatalok jogalkotó és általános igazgatási tevékenysége </t>
  </si>
  <si>
    <t>B408</t>
  </si>
  <si>
    <t>Kamatbevételek</t>
  </si>
  <si>
    <t>B411</t>
  </si>
  <si>
    <t>Egyéb működési bevételek</t>
  </si>
  <si>
    <t>B65</t>
  </si>
  <si>
    <t>Egyéb működési célú átvett pénzeszközök - háztartások</t>
  </si>
  <si>
    <t>018030 Támogatási célú finanszírozási műveletek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</si>
  <si>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</si>
  <si>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</si>
  <si>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</si>
  <si>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</si>
  <si>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</si>
  <si>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</si>
  <si>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900020 Önkormányzatok funkcióira nem sorolható bevételei államháztartáson kívülről</t>
  </si>
  <si>
    <t>B34</t>
  </si>
  <si>
    <t>Vagyoni típusú adók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</si>
  <si>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</si>
  <si>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</si>
  <si>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</si>
  <si>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</si>
  <si>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</si>
  <si>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</si>
  <si>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</si>
  <si>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</si>
  <si>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</si>
  <si>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</si>
  <si>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</si>
  <si>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</si>
  <si>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</si>
  <si>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</si>
  <si>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</si>
  <si>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Késedelmi és önellenőrzési pótlék</t>
  </si>
  <si>
    <t>013320 Köztemető fenntartás és működtetés</t>
  </si>
  <si>
    <t>018010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</si>
  <si>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</si>
  <si>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</si>
  <si>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</si>
  <si>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</si>
  <si>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Település-üzemeltetéshez kapcsolódó feladatellátás támogatása</t>
  </si>
  <si>
    <t>Zöld terület gazdálkodás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</si>
  <si>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</si>
  <si>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</si>
  <si>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</si>
  <si>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</si>
  <si>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támogatások</t>
  </si>
  <si>
    <t>Üdülőhelyi feladatok támogatása</t>
  </si>
  <si>
    <t>Polgármesteri illetmény támogatása</t>
  </si>
  <si>
    <t>Kiegészítés</t>
  </si>
  <si>
    <t>B113</t>
  </si>
  <si>
    <t>Települési önkormányzatok szociális,gyermekjóléti és gyermekétkeztetési feladatainak támogatása</t>
  </si>
  <si>
    <t>Falugondnoki vagy tanyagondnoki szolgálat</t>
  </si>
  <si>
    <t>Idősek átmenti és tartós szakosított ellátási feladatainak támogatása</t>
  </si>
  <si>
    <t xml:space="preserve">          Szakmai dolgozók bértámogatása</t>
  </si>
  <si>
    <t xml:space="preserve">          Intézmény-üzemeltetési támogatás</t>
  </si>
  <si>
    <t>Szociális ágazati pótlék</t>
  </si>
  <si>
    <t>Szociális feladatok egyéb támogatása</t>
  </si>
  <si>
    <t xml:space="preserve">B114 </t>
  </si>
  <si>
    <t>A települési önkormányzatok kulturális feladatainak támogatása</t>
  </si>
  <si>
    <t>B115</t>
  </si>
  <si>
    <t>Működési célú költségvetési támogatások és kiegészítő támogatások</t>
  </si>
  <si>
    <t>B16</t>
  </si>
  <si>
    <t>Egyéb működési célú támogatások bevételei államháztartáson belülről</t>
  </si>
  <si>
    <t>Egyéb működési célú támogatás elkülönített állami pénzalapoktól</t>
  </si>
  <si>
    <t>018020 Központi költségvetési befizetések</t>
  </si>
  <si>
    <t xml:space="preserve"> </t>
  </si>
  <si>
    <t>B814</t>
  </si>
  <si>
    <t>Államháztartáson belüli megelőlegezések</t>
  </si>
  <si>
    <t>062020 Településfejlesztési projektek és támogatásuk</t>
  </si>
  <si>
    <t>B25</t>
  </si>
  <si>
    <t>Felhalmozási célú önkormányzati támogatások</t>
  </si>
  <si>
    <t>B253</t>
  </si>
  <si>
    <t>Egyéb fejezeti kezelésű előirányzattól felhalmozási célú támogatások bevételei</t>
  </si>
  <si>
    <t>Eszközfejlesztés belterületi közterületek karbnntartására pályázat, gépek</t>
  </si>
  <si>
    <t>Temető fejlesztés pályázat bevétele</t>
  </si>
  <si>
    <t>066020 Város -, községgazdálkodási egyéb szolgáltatások</t>
  </si>
  <si>
    <t>B21</t>
  </si>
  <si>
    <t>B410</t>
  </si>
  <si>
    <t>Biztosítók által fizetett kártérítések</t>
  </si>
  <si>
    <t>041233 Hosszabb időtartamú közfoglalkoztatás</t>
  </si>
  <si>
    <t>082092 Közművelődés- hagyományos közösségi kulturális értékek gondozása</t>
  </si>
  <si>
    <t>104051 Gyerekvédelmi pénzbeli és természetbeni ellátások</t>
  </si>
  <si>
    <t>Gyermekvédelmi erzsébet utalvány</t>
  </si>
  <si>
    <t>BEVÉTELEK ÖSSZESEN</t>
  </si>
  <si>
    <t>jogcím csoportonként</t>
  </si>
  <si>
    <t>Jogcím csoportok</t>
  </si>
  <si>
    <t>Egyéb működési célú támogatások bevételei államháztaráson belülről</t>
  </si>
  <si>
    <t>Egyéb működési bevétel</t>
  </si>
  <si>
    <t>BEVÉTELEK ÖSSZESEN:</t>
  </si>
  <si>
    <t>2019. évi BEVÉTELEK feladatonkénti  bontása</t>
  </si>
  <si>
    <t>Előirányzatok adatok Ft-ban</t>
  </si>
  <si>
    <t xml:space="preserve">kötelező feladatok </t>
  </si>
  <si>
    <t>önként vállalt feladatok</t>
  </si>
  <si>
    <t>államigazgatási feladatok</t>
  </si>
  <si>
    <t>Összesen:</t>
  </si>
  <si>
    <t>011130 Önkormányzatok és önkormányzati hivatalok és j.ált. igazgatási tevékenysége</t>
  </si>
  <si>
    <t>066020 Város és községgazdálkodási szolgáltatás</t>
  </si>
  <si>
    <t>102023 Időskorúak tartós bentlakásos ellátása</t>
  </si>
  <si>
    <t>ÖSSZESEN:</t>
  </si>
  <si>
    <t xml:space="preserve">2019. évi költségvetés kiadásai </t>
  </si>
  <si>
    <t>kiemelt előirányzatonként</t>
  </si>
  <si>
    <t>Létszám</t>
  </si>
  <si>
    <t>1,00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</si>
  <si>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</si>
  <si>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</si>
  <si>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</si>
  <si>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</si>
  <si>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</si>
  <si>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</si>
  <si>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Jutalom</t>
  </si>
  <si>
    <t>K1109</t>
  </si>
  <si>
    <t>Közlekedési költségtérítés</t>
  </si>
  <si>
    <t>K1113</t>
  </si>
  <si>
    <t>Foglalkoztatottak egyéb személyi juttatásai</t>
  </si>
  <si>
    <t>K12</t>
  </si>
  <si>
    <t>Külső személyi juttatások</t>
  </si>
  <si>
    <t>K121</t>
  </si>
  <si>
    <t>Polgármester tiszteletdíja, költségtérítés</t>
  </si>
  <si>
    <t>Önkormányzati  képviselők juttatása</t>
  </si>
  <si>
    <t>Munkaadókat terhelő járulékok és szociális hozzájárulási adó</t>
  </si>
  <si>
    <t>Szociális hozzájárulási adó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</si>
  <si>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</si>
  <si>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</si>
  <si>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</si>
  <si>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</si>
  <si>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</si>
  <si>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</si>
  <si>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</si>
  <si>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</si>
  <si>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</si>
  <si>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</si>
  <si>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</si>
  <si>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</si>
  <si>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</si>
  <si>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</si>
  <si>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</si>
  <si>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</si>
  <si>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</si>
  <si>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K334</t>
  </si>
  <si>
    <t>Karbantartási, kisjavítási szolgáltatások</t>
  </si>
  <si>
    <t>K337</t>
  </si>
  <si>
    <t>Egyéb szolgáltatások</t>
  </si>
  <si>
    <t>Biztosítási díjak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</si>
  <si>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</si>
  <si>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</si>
  <si>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</si>
  <si>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</si>
  <si>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</si>
  <si>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</si>
  <si>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</si>
  <si>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</si>
  <si>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K353</t>
  </si>
  <si>
    <t>Kamatkiadások keletkezése</t>
  </si>
  <si>
    <t>K355</t>
  </si>
  <si>
    <t>Egyéb dologi kiadások</t>
  </si>
  <si>
    <t>K506</t>
  </si>
  <si>
    <t>Egyéb működési célú támogatások államháztartáson belülre</t>
  </si>
  <si>
    <t>Társulások és költségvetési szerveik (Tp Környéki Önk.Társulás)</t>
  </si>
  <si>
    <t>Társulások és költségvetési szerveik</t>
  </si>
  <si>
    <t>Támogatásértékű működési kiadás önkormányzatoknak (Kővágóörsi Közös Önkormányzati Hivatal)</t>
  </si>
  <si>
    <t>Belső ellenőrzési feladatokhoz hozzájárulás</t>
  </si>
  <si>
    <t>K512</t>
  </si>
  <si>
    <t>Egyéb működési célú támogatások államháztartáson kívülre</t>
  </si>
  <si>
    <t>K513</t>
  </si>
  <si>
    <t>Tartalékok</t>
  </si>
  <si>
    <t>K914</t>
  </si>
  <si>
    <t>Államháztartáson belüli megelőlegezések visszafizetése</t>
  </si>
  <si>
    <t>K91</t>
  </si>
  <si>
    <t>Belföldi finanszírozás kiadásai</t>
  </si>
  <si>
    <t>K915</t>
  </si>
  <si>
    <t>Központi, irányító szervi támogatás folyósítása (Idősek Otthonának)</t>
  </si>
  <si>
    <t>Óvodai ellátás</t>
  </si>
  <si>
    <t>Védőnői szolgáltaás</t>
  </si>
  <si>
    <t>Tapolca környéki önkormányzati társulás (vezetői feladatok)</t>
  </si>
  <si>
    <t>Balaton-felvidéki Szociális. Gyermekjóléti és Háziorvosi Ügyeleti Szolgálat</t>
  </si>
  <si>
    <t>K123</t>
  </si>
  <si>
    <t>Egyszerűsített foglalkoztatottak juttatásai és közterhei</t>
  </si>
  <si>
    <t>Más egyéb szolgáltatások</t>
  </si>
  <si>
    <t>K62</t>
  </si>
  <si>
    <t>Ingatlanok beszerzése, létesítése</t>
  </si>
  <si>
    <t>K64</t>
  </si>
  <si>
    <t>Egyéb tárgyi eszközök beszerzése (gépek beszerzése)</t>
  </si>
  <si>
    <t>K67</t>
  </si>
  <si>
    <t>Beruházási célú előzetesen felszámított általános forgalmi adó</t>
  </si>
  <si>
    <t>K71</t>
  </si>
  <si>
    <t>Ingatlanok felújítása (vízelvezető árok burkolása és aszfaltozás)</t>
  </si>
  <si>
    <t>K74</t>
  </si>
  <si>
    <t xml:space="preserve">Felújítási célú előzetesen felszámított áfa </t>
  </si>
  <si>
    <t>072112 Háziorvosi ügyeleti ellátás</t>
  </si>
  <si>
    <t>Egyéb anyagbeszerzés</t>
  </si>
  <si>
    <t>K61</t>
  </si>
  <si>
    <t>Immateriális javak beszerzése</t>
  </si>
  <si>
    <t>066010 Zöldterület - kezelés</t>
  </si>
  <si>
    <t>Üzemeltetési anyagok beszerzése</t>
  </si>
  <si>
    <t>064010 Közvilágítás</t>
  </si>
  <si>
    <t>Villamosenergia</t>
  </si>
  <si>
    <t>107055 Falugondnoki, tanyagondnoki szolgáltatás</t>
  </si>
  <si>
    <t>K1102</t>
  </si>
  <si>
    <t>Jutalmak</t>
  </si>
  <si>
    <t>K1106</t>
  </si>
  <si>
    <t>Jubileumi jutalmak</t>
  </si>
  <si>
    <t>107052 Házi segítségnyújtás</t>
  </si>
  <si>
    <t>104051 Gyermekvédelmi és pénzbeli és természetbeni ellátások</t>
  </si>
  <si>
    <t>Ellátottak pénzbeli támogatásai</t>
  </si>
  <si>
    <t>K483</t>
  </si>
  <si>
    <t>Egyéb nem intézményi ellátások</t>
  </si>
  <si>
    <t>Gyermekvédelmi Erszébet utalvány</t>
  </si>
  <si>
    <t>107060 Egyéb szociális pénzbeli és természetbeni ellátások, támogatások</t>
  </si>
  <si>
    <t>K48</t>
  </si>
  <si>
    <t>Települési támogatás</t>
  </si>
  <si>
    <t>106020 Lakásfenntartással, lakhatással összefüggő ellátások</t>
  </si>
  <si>
    <t>082044 Könyvtári szolgáltatások</t>
  </si>
  <si>
    <t>Internet</t>
  </si>
  <si>
    <t>082092 Közművelődés - hagyományos közösségi kulturális értékek gondozása</t>
  </si>
  <si>
    <t>Ingatlanok felújítása</t>
  </si>
  <si>
    <t>031060 Bűnmegelőzés</t>
  </si>
  <si>
    <t>Működési célú pénzeszköz átadás egyéb civil szervezeteknek</t>
  </si>
  <si>
    <t>032020 Tűz- és katasztrófavédelmi tevékenységek</t>
  </si>
  <si>
    <t>013350 Önkormányzati vagyonnal való gazdálkodással kapcsolatos feladatok</t>
  </si>
  <si>
    <t>K502</t>
  </si>
  <si>
    <t>Előző évi elszámolásokból származó kiadások</t>
  </si>
  <si>
    <r>
      <rPr>
        <b/>
        <sz val="12"/>
        <rFont val="Times New Roman"/>
        <family val="1"/>
        <charset val="238"/>
      </rP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  <charset val="238"/>
      </rPr>
      <t>fő</t>
    </r>
  </si>
  <si>
    <t>Kiadások Összesen:</t>
  </si>
  <si>
    <t>MINDSZENTKÁLLA  KÖZSÉG ÖNKORMÁNYZATA</t>
  </si>
  <si>
    <t>2019. évi KIADÁSOK feladatonkénti  bontása</t>
  </si>
  <si>
    <t xml:space="preserve"> Előirányzatok adatok Ft-ban</t>
  </si>
  <si>
    <t>011130 Önkormányzatokés önkormányzati hivatalok és j.ált. igazgatási tevékenysége</t>
  </si>
  <si>
    <t xml:space="preserve">072112 Háziorvosi ügyeleti ellátás </t>
  </si>
  <si>
    <t>066010 Zöldterületek kezelése</t>
  </si>
  <si>
    <t>064010 Közvilágítási feladatok</t>
  </si>
  <si>
    <t>107055 Falugondnoki szolgáltatás</t>
  </si>
  <si>
    <t>082092 Közművelődés-hagyományos közösségi kulturális értékek gondozása</t>
  </si>
  <si>
    <t>Tájékoztató adatok a MŰKÖDÉSI bevételek és kiadások alakulásáról</t>
  </si>
  <si>
    <t>Megnevezés</t>
  </si>
  <si>
    <t>2017. teljesítés (adatok Ft-ban)</t>
  </si>
  <si>
    <t>2018. teljesítés (adatok Ft-ban)</t>
  </si>
  <si>
    <t>2019. eredeti előirányzat (adatok Ft-ban)</t>
  </si>
  <si>
    <t>2019. módosított előirányzat (adatok Ft-ban)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</si>
  <si>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</si>
  <si>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</si>
  <si>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</si>
  <si>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</si>
  <si>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</si>
  <si>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</si>
  <si>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</si>
  <si>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2019. eredeti előirányzat</t>
  </si>
  <si>
    <t>2019. módosított előirányzat</t>
  </si>
  <si>
    <t>B5</t>
  </si>
  <si>
    <t>Felhalmozási bevételek</t>
  </si>
  <si>
    <t>B7</t>
  </si>
  <si>
    <t>Felhalmozási célú átvett pénzeszközök</t>
  </si>
  <si>
    <t>Felhalmozási célú bevételek összesen</t>
  </si>
  <si>
    <t xml:space="preserve">K8 </t>
  </si>
  <si>
    <t>Egyéb felhalmozási célú kiadások</t>
  </si>
  <si>
    <t>Felhalmozási célú kiadások összesen</t>
  </si>
  <si>
    <t>BEVÉTELEK összesen</t>
  </si>
  <si>
    <t>KIADÁSOK összesen</t>
  </si>
  <si>
    <t>2019. évi költségvetés FELÚJÍTÁSI kiadásai célonkénti bontásban</t>
  </si>
  <si>
    <t>(adatok Ft-ban)</t>
  </si>
  <si>
    <t>Ravatalozó felújítás</t>
  </si>
  <si>
    <t>Felújítások összesen:</t>
  </si>
  <si>
    <t>2019. évi költségvetés BERUHÁZÁSI kiadásai feladatonkénti bontásban</t>
  </si>
  <si>
    <t>Vízelvezető árkok burkolása és aszfaltozás</t>
  </si>
  <si>
    <t>Temetői nyilvántartó program</t>
  </si>
  <si>
    <t>Gépek beszerzése</t>
  </si>
  <si>
    <t>Traktor beszerzés Captain 273 4WD</t>
  </si>
  <si>
    <t>Húzó-Tolólap 148 cm</t>
  </si>
  <si>
    <t>Fűkasza, fűnyíró, motoros fűrész beszerzése (pályázati rész 69.000 Ft)</t>
  </si>
  <si>
    <t>Beruházások összesen:</t>
  </si>
  <si>
    <t>KÁLI - MEDENCE IDŐSEK OTTHONA</t>
  </si>
  <si>
    <t>2019. évi BEVÉTELEK részletezése</t>
  </si>
  <si>
    <t xml:space="preserve">102023 Időskorúak tartós bentlakásos ellátása                             </t>
  </si>
  <si>
    <t>B161</t>
  </si>
  <si>
    <t>Elkülönített állami pénzalapoktól működési célú támogtások bevételei</t>
  </si>
  <si>
    <t>Ágazati pótlékra betervetezett pénzeszköz</t>
  </si>
  <si>
    <t>B405</t>
  </si>
  <si>
    <t>Ellátási díjak</t>
  </si>
  <si>
    <t>Biztosító által fizetett kártérítési díjak</t>
  </si>
  <si>
    <t>B816</t>
  </si>
  <si>
    <t>Központi, irányító szervi támogatás</t>
  </si>
  <si>
    <t xml:space="preserve">041233 Hosszabb időtartamú közfoglalkoztatás               </t>
  </si>
  <si>
    <t>2019. évi KIADÁSOK részletezése</t>
  </si>
  <si>
    <t>Létszám (fő)</t>
  </si>
  <si>
    <t>Jubielumi jutalom</t>
  </si>
  <si>
    <t>K1104</t>
  </si>
  <si>
    <t xml:space="preserve">Készenléti, ügyeleti, helyettesítési díj </t>
  </si>
  <si>
    <t>K1107</t>
  </si>
  <si>
    <t>Béren kívüli juttatások</t>
  </si>
  <si>
    <t>Munkáltató terhelő SZJA kiadásai</t>
  </si>
  <si>
    <t>Kommunikációs és informatikai szolgáltatások</t>
  </si>
  <si>
    <t xml:space="preserve">K332 </t>
  </si>
  <si>
    <t>Vásárolt élelmezés</t>
  </si>
  <si>
    <t>Belföldi kiküldetés</t>
  </si>
  <si>
    <t>Kamatkiadások</t>
  </si>
  <si>
    <t>Egyéb tárgyi eszközök beszerzése</t>
  </si>
  <si>
    <t>Beruházási célú előzetesen felszámított áfa</t>
  </si>
  <si>
    <t>jutalom</t>
  </si>
  <si>
    <t>Létszámkeret:</t>
  </si>
  <si>
    <t>Kiadások összesen:</t>
  </si>
  <si>
    <t>Tárgyi eszközök beszerzése, létesítése</t>
  </si>
  <si>
    <t>Mosógép beszerzése</t>
  </si>
  <si>
    <t>Betegágyak beszerzése</t>
  </si>
  <si>
    <t>Szociális ágazati és egészségügyi pótlék, kompenzáció</t>
  </si>
  <si>
    <t>Pénzügyi teljesítés</t>
  </si>
  <si>
    <t>Pénzügyi teljesítés mód. előirányzathoz képest</t>
  </si>
  <si>
    <t>%-os értékben</t>
  </si>
  <si>
    <t>2019.12.31-ig (Ft)</t>
  </si>
  <si>
    <t>1. melléklet a …../2020. (……...) önkormányzati rendelethez</t>
  </si>
  <si>
    <t>K1221</t>
  </si>
  <si>
    <t>Külső személyi juttatás</t>
  </si>
  <si>
    <t>13. melléklet a .../2020. (…....) önkormányzati rendelethez</t>
  </si>
  <si>
    <t>11. melléklet a …/2020. (……..) önkormányzati rendelethez</t>
  </si>
  <si>
    <t>2. melléklet a …./2020. (……….) önkormányzati rendelethez</t>
  </si>
  <si>
    <t>Esküvői díjbevételek továbbítása Közös Hivatal részére</t>
  </si>
  <si>
    <t>Egészségügyi hozzájárulás és szja kiadásai</t>
  </si>
  <si>
    <t>Egyéb dologi kiadások teljesítése</t>
  </si>
  <si>
    <t>-</t>
  </si>
  <si>
    <t>Pénzügyi teljesítés a mód. Ei. képest (%)</t>
  </si>
  <si>
    <t>2019 Pénzügyi teljesítés (adatok Ft-ban)</t>
  </si>
  <si>
    <t xml:space="preserve">7. melléklet a .../2020. (……..) önkormányzati rendelethez  </t>
  </si>
  <si>
    <t>6. melléklet a .../2020. (……..) önkormányzati rendelethez</t>
  </si>
  <si>
    <t>4. melléklet a …../2020. (……....) önkormányzati rendelethez</t>
  </si>
  <si>
    <t>3. melléklet a …./2020. (……...) önkormányzati rendelethez</t>
  </si>
  <si>
    <t>5. melléklet a .../2020. (……..) önkormányzati rendelethez</t>
  </si>
  <si>
    <t>E)        Alaptevékenység szabad maradványa (=A-D)</t>
  </si>
  <si>
    <t>17</t>
  </si>
  <si>
    <t>C)        Összes maradvány (=A+B)</t>
  </si>
  <si>
    <t>15</t>
  </si>
  <si>
    <t>A)        Alaptevékenység maradványa (=±I±II)</t>
  </si>
  <si>
    <t>07</t>
  </si>
  <si>
    <t>II         Alaptevékenység finanszírozási egyenlege (=03-04)</t>
  </si>
  <si>
    <t>06</t>
  </si>
  <si>
    <t>04        Alaptevékenység finanszírozási kiadásai</t>
  </si>
  <si>
    <t>05</t>
  </si>
  <si>
    <t>03        Alaptevékenység finanszírozási bevételei</t>
  </si>
  <si>
    <t>04</t>
  </si>
  <si>
    <t>I          Alaptevékenység költségvetési egyenlege (=01-02)</t>
  </si>
  <si>
    <t>03</t>
  </si>
  <si>
    <t>02        Alaptevékenység költségvetési kiadásai</t>
  </si>
  <si>
    <t>02</t>
  </si>
  <si>
    <t>01        Alaptevékenység költségvetési bevételei</t>
  </si>
  <si>
    <t>01</t>
  </si>
  <si>
    <t>Összeg</t>
  </si>
  <si>
    <t>#</t>
  </si>
  <si>
    <t>07/A - Maradványkimutatás</t>
  </si>
  <si>
    <t>2019.évi pénzmaradvány kimutatás</t>
  </si>
  <si>
    <t>12/A - Mérleg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</si>
  <si>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</si>
  <si>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</si>
  <si>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</si>
  <si>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</si>
  <si>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</si>
  <si>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</si>
  <si>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</si>
  <si>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</si>
  <si>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</si>
  <si>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</si>
  <si>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</si>
  <si>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</si>
  <si>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</si>
  <si>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</si>
  <si>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</si>
  <si>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</si>
  <si>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</si>
  <si>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</si>
  <si>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</si>
  <si>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</si>
  <si>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</si>
  <si>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</si>
  <si>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</si>
  <si>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</si>
  <si>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</si>
  <si>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</si>
  <si>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</si>
  <si>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</si>
  <si>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</si>
  <si>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</si>
  <si>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</si>
  <si>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</si>
  <si>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</si>
  <si>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</si>
  <si>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</si>
  <si>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</si>
  <si>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</si>
  <si>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</si>
  <si>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</si>
  <si>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</si>
  <si>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</si>
  <si>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</si>
  <si>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</si>
  <si>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</si>
  <si>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</si>
  <si>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</si>
  <si>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</si>
  <si>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</si>
  <si>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</si>
  <si>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</si>
  <si>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</si>
  <si>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</si>
  <si>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</si>
  <si>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143</t>
  </si>
  <si>
    <t>D/III/1 Adott előlegek (=D/III/1a+…+D/III/1f)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</si>
  <si>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</si>
  <si>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</si>
  <si>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</si>
  <si>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</si>
  <si>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</si>
  <si>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</si>
  <si>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</si>
  <si>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</si>
  <si>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</si>
  <si>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</si>
  <si>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</si>
  <si>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</si>
  <si>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</si>
  <si>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</si>
  <si>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</si>
  <si>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</si>
  <si>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</si>
  <si>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</si>
  <si>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</si>
  <si>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</si>
  <si>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</si>
  <si>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</si>
  <si>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</si>
  <si>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</si>
  <si>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</si>
  <si>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</si>
  <si>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</si>
  <si>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</si>
  <si>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</si>
  <si>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</si>
  <si>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</si>
  <si>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</si>
  <si>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</si>
  <si>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</si>
  <si>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</si>
  <si>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</si>
  <si>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</si>
  <si>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</si>
  <si>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</si>
  <si>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</si>
  <si>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</si>
  <si>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</si>
  <si>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</si>
  <si>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</si>
  <si>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</si>
  <si>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</si>
  <si>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</si>
  <si>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</si>
  <si>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</si>
  <si>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</si>
  <si>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</si>
  <si>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</si>
  <si>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</si>
  <si>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</si>
  <si>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</si>
  <si>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</si>
  <si>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15. melléklet az .../2020. (...)      önkormányzati rendelethez</t>
  </si>
  <si>
    <t>MÉRLEG</t>
  </si>
  <si>
    <t>13/A - Eredménykimutatás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</si>
  <si>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</si>
  <si>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</si>
  <si>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</si>
  <si>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</si>
  <si>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</si>
  <si>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</si>
  <si>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</si>
  <si>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</si>
  <si>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</si>
  <si>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</si>
  <si>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</si>
  <si>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</si>
  <si>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14</t>
  </si>
  <si>
    <t>11 Igénybe vett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</si>
  <si>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</si>
  <si>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</si>
  <si>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</si>
  <si>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</si>
  <si>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</si>
  <si>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</si>
  <si>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</si>
  <si>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</si>
  <si>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VI Értékcsökkenési leírás</t>
  </si>
  <si>
    <t>23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</si>
  <si>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</si>
  <si>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</si>
  <si>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</si>
  <si>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</si>
  <si>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</si>
  <si>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</si>
  <si>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</si>
  <si>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</si>
  <si>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</si>
  <si>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</si>
  <si>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</si>
  <si>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</si>
  <si>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</si>
  <si>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16. melléklet az .../2020. (...)      önkormányzati rendelethez</t>
  </si>
  <si>
    <t>Eredménykimutatás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</si>
  <si>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</si>
  <si>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</si>
  <si>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</si>
  <si>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</si>
  <si>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</si>
  <si>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</si>
  <si>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</si>
  <si>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</si>
  <si>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</si>
  <si>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</si>
  <si>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</si>
  <si>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</si>
  <si>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</si>
  <si>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</si>
  <si>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</si>
  <si>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</si>
  <si>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</si>
  <si>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</si>
  <si>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</si>
  <si>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</si>
  <si>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</si>
  <si>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</si>
  <si>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</si>
  <si>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</si>
  <si>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</si>
  <si>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17. melléklet az .../2020. (...)      önkormányzati rendelethez</t>
  </si>
  <si>
    <t>Tárgyi eszközök és Immateriális javak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</si>
  <si>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</si>
  <si>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</si>
  <si>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Normatív jutalmak, céljuttatás, projektprémium</t>
  </si>
  <si>
    <t>Készenléti, ügyeleti, helyettesítési díj, túlóra, túlszolgálat</t>
  </si>
  <si>
    <t>Végkielégítés, jubileumi jutalom</t>
  </si>
  <si>
    <t>Költségtérítések</t>
  </si>
  <si>
    <t>Támogatások</t>
  </si>
  <si>
    <t>Választott tisztségviselők juttatásai</t>
  </si>
  <si>
    <t>30</t>
  </si>
  <si>
    <t>"A", "B" fizetési osztály összesen</t>
  </si>
  <si>
    <t>40</t>
  </si>
  <si>
    <t>KÖZALKALMAZOTTAK ÖSSZESEN (=27+...+39)</t>
  </si>
  <si>
    <t>77</t>
  </si>
  <si>
    <t>fizikai alkalmazott, a költségvetési szerveknél foglalkoztatott egyéb munkavállaló  (fizikai alkalmazott)</t>
  </si>
  <si>
    <t>79</t>
  </si>
  <si>
    <t>közfoglalkoztatott</t>
  </si>
  <si>
    <t>81</t>
  </si>
  <si>
    <t>EGYÉB BÉRRENDSZER ÖSSZESEN (=74+…+80)</t>
  </si>
  <si>
    <t>90</t>
  </si>
  <si>
    <t>polgármester, főpolgármester</t>
  </si>
  <si>
    <t>91</t>
  </si>
  <si>
    <t>helyi önkormányzati képviselő-testület tagja, megyei közgyűlés tagja</t>
  </si>
  <si>
    <t>92</t>
  </si>
  <si>
    <t>alpolgármester, főpolgármester-helyettes, megyei közgyűlés elnöke, alelnöke</t>
  </si>
  <si>
    <t>93</t>
  </si>
  <si>
    <t>VÁLASZTOTT TISZTSÉGVISELŐK ÖSSZESEN (=82+...+92)</t>
  </si>
  <si>
    <t>94</t>
  </si>
  <si>
    <t>FOGLALKOZTATOTTAK ÖSSZESEN (=26+40+51+57+62+67+73+81+93)</t>
  </si>
  <si>
    <t>99</t>
  </si>
  <si>
    <t>Átlagos statisztikai állományi létszám (tényleges éves átlagos statisztikai állományi létszám) (fő)</t>
  </si>
  <si>
    <t>18. melléklet az .../2020. (...)      önkormányzati rendelethez</t>
  </si>
  <si>
    <t>72</t>
  </si>
  <si>
    <t>D/I/4c - ebből: költségvetési évben esedékes követelések ellátási díjakra</t>
  </si>
  <si>
    <t>21. melléklet az .../2020. (...)      önkormányzati rendelethez</t>
  </si>
  <si>
    <t>20. melléklet az .../2020. (...)      önkormányzati rendelethez</t>
  </si>
  <si>
    <t>19. melléklet az .../2020. (...)      önkormányzati rendelethez</t>
  </si>
  <si>
    <t>22. melléklet az .../2020. (...)      önkormányzati rendelethez</t>
  </si>
  <si>
    <t>Tárgyi Eszközök</t>
  </si>
  <si>
    <t>igazgató (főigazgató), igazgatóhelyettes (főigazgató-helyettes)</t>
  </si>
  <si>
    <t>31</t>
  </si>
  <si>
    <t>"C", "D" fizetési osztály összesen</t>
  </si>
  <si>
    <t>"E" - "J" fizetési osztály összesen</t>
  </si>
  <si>
    <t>95</t>
  </si>
  <si>
    <t>Zárólétszám (az időszak végén munkavégzésre irányuló jogviszonyban állók statisztikai állományi létszáma) (fő)</t>
  </si>
  <si>
    <t>96</t>
  </si>
  <si>
    <t>Munkajogi zárólétszám (az időszak végén munkaviszonyban állók létszáma) (fő)</t>
  </si>
  <si>
    <t>23. melléklet az .../2020. (...)      önkormányzati rendelethez</t>
  </si>
  <si>
    <t>8. melléklet a .../2020. (…….) önkormányzati rendelethez</t>
  </si>
  <si>
    <t>9. melléklet a .../2020. (……...) önkormányzati rendelethez</t>
  </si>
  <si>
    <t>10. melléklet a .../2020. (……..) önkormányzati rendelethez</t>
  </si>
  <si>
    <t>12. melléklet a ..../2020. (…....) önkormányzati rendelethez</t>
  </si>
  <si>
    <t>14. melléklet az .../2020. (...)   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</si>
</sst>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22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color indexed="12"/>
      <name val="Times New Roman"/>
      <family val="1"/>
      <charset val="238"/>
    </font>
    <font>
      <sz val="10"/>
      <color indexed="62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sz val="12"/>
      <color indexed="20"/>
      <name val="Arial"/>
      <family val="2"/>
      <charset val="238"/>
    </font>
    <font>
      <b/>
      <sz val="12"/>
      <color indexed="20"/>
      <name val="Times New Roman"/>
      <family val="1"/>
      <charset val="238"/>
    </font>
    <font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</font>
    <font>
      <sz val="10"/>
      <name val="Arial"/>
    </font>
    <font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7"/>
      </patternFill>
    </fill>
    <fill>
      <patternFill patternType="solid">
        <fgColor indexed="47"/>
        <bgColor indexed="26"/>
      </patternFill>
    </fill>
    <fill>
      <patternFill patternType="solid">
        <fgColor theme="5" tint="0.79998168889431442"/>
        <bgColor indexed="47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8" fillId="0" borderId="0"/>
  </cellStyleXfs>
  <cellXfs count="441">
    <xf numFmtId="0" fontId="0" fillId="0" borderId="0" xfId="0"/>
    <xf numFmtId="0" fontId="0" fillId="0" borderId="0" xfId="0" applyFont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2" xfId="0" applyNumberFormat="1" applyFont="1" applyBorder="1"/>
    <xf numFmtId="0" fontId="2" fillId="0" borderId="0" xfId="0" applyFont="1" applyAlignment="1">
      <alignment horizontal="left"/>
    </xf>
    <xf numFmtId="3" fontId="2" fillId="0" borderId="2" xfId="0" applyNumberFormat="1" applyFont="1" applyBorder="1"/>
    <xf numFmtId="0" fontId="4" fillId="0" borderId="0" xfId="0" applyFont="1" applyAlignment="1">
      <alignment horizontal="left"/>
    </xf>
    <xf numFmtId="0" fontId="4" fillId="0" borderId="3" xfId="0" applyFont="1" applyBorder="1"/>
    <xf numFmtId="3" fontId="4" fillId="0" borderId="4" xfId="0" applyNumberFormat="1" applyFont="1" applyBorder="1"/>
    <xf numFmtId="0" fontId="2" fillId="0" borderId="3" xfId="0" applyFont="1" applyBorder="1"/>
    <xf numFmtId="0" fontId="4" fillId="0" borderId="5" xfId="0" applyFont="1" applyBorder="1"/>
    <xf numFmtId="3" fontId="4" fillId="0" borderId="6" xfId="0" applyNumberFormat="1" applyFont="1" applyBorder="1"/>
    <xf numFmtId="0" fontId="5" fillId="0" borderId="0" xfId="0" applyFont="1"/>
    <xf numFmtId="0" fontId="2" fillId="0" borderId="0" xfId="0" applyFont="1" applyAlignment="1">
      <alignment horizontal="justify"/>
    </xf>
    <xf numFmtId="3" fontId="0" fillId="0" borderId="0" xfId="0" applyNumberFormat="1"/>
    <xf numFmtId="0" fontId="4" fillId="0" borderId="0" xfId="0" applyFont="1" applyAlignment="1">
      <alignment horizontal="justify"/>
    </xf>
    <xf numFmtId="0" fontId="5" fillId="2" borderId="3" xfId="0" applyFont="1" applyFill="1" applyBorder="1"/>
    <xf numFmtId="0" fontId="4" fillId="2" borderId="3" xfId="0" applyFont="1" applyFill="1" applyBorder="1" applyAlignment="1">
      <alignment horizontal="justify"/>
    </xf>
    <xf numFmtId="3" fontId="4" fillId="2" borderId="4" xfId="0" applyNumberFormat="1" applyFont="1" applyFill="1" applyBorder="1"/>
    <xf numFmtId="165" fontId="1" fillId="0" borderId="0" xfId="1" applyNumberFormat="1" applyFill="1" applyBorder="1" applyAlignment="1" applyProtection="1"/>
    <xf numFmtId="0" fontId="0" fillId="0" borderId="0" xfId="6" applyFont="1"/>
    <xf numFmtId="0" fontId="2" fillId="0" borderId="0" xfId="6" applyFont="1" applyAlignment="1">
      <alignment horizontal="right"/>
    </xf>
    <xf numFmtId="0" fontId="0" fillId="0" borderId="0" xfId="0" applyAlignment="1"/>
    <xf numFmtId="0" fontId="0" fillId="0" borderId="0" xfId="0" applyFont="1" applyAlignment="1"/>
    <xf numFmtId="2" fontId="2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3" fontId="4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4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3" fontId="4" fillId="3" borderId="0" xfId="0" applyNumberFormat="1" applyFont="1" applyFill="1"/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4" fillId="3" borderId="0" xfId="0" applyNumberFormat="1" applyFont="1" applyFill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7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0" fontId="4" fillId="0" borderId="0" xfId="0" applyFont="1" applyFill="1" applyAlignment="1"/>
    <xf numFmtId="2" fontId="4" fillId="0" borderId="0" xfId="0" applyNumberFormat="1" applyFont="1" applyFill="1"/>
    <xf numFmtId="3" fontId="2" fillId="0" borderId="9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3" fontId="4" fillId="3" borderId="11" xfId="0" applyNumberFormat="1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/>
    <xf numFmtId="3" fontId="4" fillId="0" borderId="12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2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3" fontId="4" fillId="3" borderId="13" xfId="0" applyNumberFormat="1" applyFont="1" applyFill="1" applyBorder="1"/>
    <xf numFmtId="0" fontId="7" fillId="0" borderId="0" xfId="0" applyFont="1"/>
    <xf numFmtId="165" fontId="8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0" xfId="4"/>
    <xf numFmtId="0" fontId="0" fillId="0" borderId="0" xfId="4" applyFont="1"/>
    <xf numFmtId="0" fontId="3" fillId="0" borderId="0" xfId="4" applyFont="1" applyAlignment="1">
      <alignment horizontal="center"/>
    </xf>
    <xf numFmtId="0" fontId="7" fillId="0" borderId="0" xfId="4" applyFont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3" fontId="2" fillId="0" borderId="0" xfId="4" applyNumberFormat="1" applyFont="1"/>
    <xf numFmtId="49" fontId="4" fillId="0" borderId="0" xfId="4" applyNumberFormat="1" applyFont="1" applyAlignment="1">
      <alignment horizontal="left"/>
    </xf>
    <xf numFmtId="0" fontId="8" fillId="0" borderId="0" xfId="4" applyFont="1"/>
    <xf numFmtId="0" fontId="4" fillId="0" borderId="1" xfId="4" applyFont="1" applyBorder="1" applyAlignment="1">
      <alignment horizontal="left"/>
    </xf>
    <xf numFmtId="3" fontId="4" fillId="0" borderId="1" xfId="4" applyNumberFormat="1" applyFont="1" applyBorder="1"/>
    <xf numFmtId="3" fontId="0" fillId="0" borderId="0" xfId="4" applyNumberFormat="1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4" fillId="3" borderId="2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2" fillId="0" borderId="2" xfId="0" applyFont="1" applyBorder="1"/>
    <xf numFmtId="3" fontId="2" fillId="0" borderId="2" xfId="0" applyNumberFormat="1" applyFont="1" applyBorder="1" applyAlignment="1">
      <alignment horizontal="left"/>
    </xf>
    <xf numFmtId="165" fontId="2" fillId="0" borderId="8" xfId="1" applyNumberFormat="1" applyFont="1" applyFill="1" applyBorder="1" applyAlignment="1" applyProtection="1">
      <alignment vertical="center"/>
    </xf>
    <xf numFmtId="165" fontId="2" fillId="0" borderId="8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0" fontId="4" fillId="0" borderId="8" xfId="0" applyFont="1" applyBorder="1"/>
    <xf numFmtId="3" fontId="4" fillId="0" borderId="8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3" fontId="4" fillId="3" borderId="2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3" borderId="11" xfId="0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1" fillId="0" borderId="0" xfId="4" applyNumberFormat="1"/>
    <xf numFmtId="165" fontId="11" fillId="0" borderId="0" xfId="1" applyNumberFormat="1" applyFont="1" applyFill="1" applyBorder="1" applyAlignment="1" applyProtection="1">
      <alignment horizontal="center" vertical="center"/>
    </xf>
    <xf numFmtId="0" fontId="2" fillId="0" borderId="0" xfId="2"/>
    <xf numFmtId="0" fontId="2" fillId="0" borderId="0" xfId="2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3" fontId="2" fillId="0" borderId="0" xfId="2" applyNumberFormat="1" applyAlignment="1">
      <alignment horizontal="right" vertical="center" wrapText="1"/>
    </xf>
    <xf numFmtId="0" fontId="2" fillId="0" borderId="3" xfId="2" applyBorder="1"/>
    <xf numFmtId="0" fontId="4" fillId="0" borderId="3" xfId="2" applyFont="1" applyBorder="1" applyAlignment="1">
      <alignment wrapText="1"/>
    </xf>
    <xf numFmtId="0" fontId="4" fillId="0" borderId="0" xfId="2" applyFont="1" applyAlignment="1">
      <alignment wrapText="1"/>
    </xf>
    <xf numFmtId="0" fontId="2" fillId="0" borderId="0" xfId="4" applyFont="1" applyAlignment="1">
      <alignment horizontal="justify"/>
    </xf>
    <xf numFmtId="3" fontId="4" fillId="0" borderId="3" xfId="2" applyNumberFormat="1" applyFont="1" applyBorder="1" applyAlignment="1">
      <alignment horizontal="right" wrapText="1"/>
    </xf>
    <xf numFmtId="3" fontId="2" fillId="0" borderId="0" xfId="2" applyNumberFormat="1"/>
    <xf numFmtId="0" fontId="2" fillId="0" borderId="0" xfId="2" applyAlignment="1">
      <alignment horizontal="right"/>
    </xf>
    <xf numFmtId="0" fontId="4" fillId="0" borderId="15" xfId="2" applyFont="1" applyBorder="1" applyAlignment="1">
      <alignment horizontal="center" vertical="center" wrapText="1"/>
    </xf>
    <xf numFmtId="3" fontId="2" fillId="0" borderId="14" xfId="2" applyNumberFormat="1" applyBorder="1" applyAlignment="1">
      <alignment horizontal="right" vertical="center" wrapText="1"/>
    </xf>
    <xf numFmtId="3" fontId="4" fillId="0" borderId="3" xfId="2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0" fontId="2" fillId="0" borderId="11" xfId="2" applyBorder="1"/>
    <xf numFmtId="0" fontId="4" fillId="0" borderId="11" xfId="2" applyFont="1" applyBorder="1" applyAlignment="1">
      <alignment wrapText="1"/>
    </xf>
    <xf numFmtId="3" fontId="4" fillId="0" borderId="11" xfId="2" applyNumberFormat="1" applyFont="1" applyBorder="1" applyAlignment="1">
      <alignment wrapText="1"/>
    </xf>
    <xf numFmtId="0" fontId="12" fillId="0" borderId="0" xfId="0" applyFont="1"/>
    <xf numFmtId="0" fontId="2" fillId="0" borderId="0" xfId="0" applyFont="1" applyAlignment="1">
      <alignment horizontal="right" vertical="center"/>
    </xf>
    <xf numFmtId="0" fontId="13" fillId="0" borderId="0" xfId="0" applyFont="1"/>
    <xf numFmtId="3" fontId="1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5"/>
    <xf numFmtId="0" fontId="2" fillId="0" borderId="0" xfId="5" applyFont="1" applyAlignment="1">
      <alignment horizontal="right"/>
    </xf>
    <xf numFmtId="0" fontId="2" fillId="0" borderId="0" xfId="3"/>
    <xf numFmtId="0" fontId="2" fillId="0" borderId="0" xfId="3" applyAlignment="1">
      <alignment horizontal="center" vertical="center"/>
    </xf>
    <xf numFmtId="3" fontId="4" fillId="0" borderId="1" xfId="3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left" vertical="center"/>
    </xf>
    <xf numFmtId="3" fontId="2" fillId="0" borderId="1" xfId="3" applyNumberFormat="1" applyBorder="1" applyAlignment="1">
      <alignment horizontal="right" vertical="center"/>
    </xf>
    <xf numFmtId="3" fontId="2" fillId="0" borderId="1" xfId="3" applyNumberFormat="1" applyFont="1" applyBorder="1" applyAlignment="1">
      <alignment horizontal="right" vertical="center"/>
    </xf>
    <xf numFmtId="0" fontId="2" fillId="0" borderId="0" xfId="3" applyAlignment="1">
      <alignment horizontal="left"/>
    </xf>
    <xf numFmtId="0" fontId="2" fillId="0" borderId="16" xfId="3" applyFont="1" applyBorder="1" applyAlignment="1">
      <alignment horizontal="left" vertical="center"/>
    </xf>
    <xf numFmtId="0" fontId="2" fillId="0" borderId="17" xfId="3" applyFont="1" applyBorder="1" applyAlignment="1">
      <alignment horizontal="left" vertical="center"/>
    </xf>
    <xf numFmtId="0" fontId="4" fillId="0" borderId="18" xfId="3" applyFont="1" applyBorder="1" applyAlignment="1">
      <alignment horizontal="left"/>
    </xf>
    <xf numFmtId="3" fontId="4" fillId="0" borderId="18" xfId="3" applyNumberFormat="1" applyFont="1" applyBorder="1" applyAlignment="1">
      <alignment horizontal="right"/>
    </xf>
    <xf numFmtId="0" fontId="4" fillId="0" borderId="0" xfId="3" applyFont="1"/>
    <xf numFmtId="0" fontId="8" fillId="0" borderId="0" xfId="0" applyFont="1" applyAlignment="1">
      <alignment wrapText="1"/>
    </xf>
    <xf numFmtId="0" fontId="0" fillId="0" borderId="0" xfId="6" applyFont="1" applyAlignment="1">
      <alignment wrapText="1"/>
    </xf>
    <xf numFmtId="0" fontId="15" fillId="0" borderId="0" xfId="0" applyFont="1" applyAlignment="1">
      <alignment wrapText="1"/>
    </xf>
    <xf numFmtId="0" fontId="4" fillId="0" borderId="0" xfId="6" applyFont="1"/>
    <xf numFmtId="0" fontId="2" fillId="0" borderId="7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center"/>
    </xf>
    <xf numFmtId="0" fontId="4" fillId="3" borderId="20" xfId="0" applyFont="1" applyFill="1" applyBorder="1"/>
    <xf numFmtId="3" fontId="4" fillId="3" borderId="20" xfId="0" applyNumberFormat="1" applyFont="1" applyFill="1" applyBorder="1"/>
    <xf numFmtId="0" fontId="1" fillId="0" borderId="0" xfId="6"/>
    <xf numFmtId="0" fontId="8" fillId="0" borderId="0" xfId="6" applyFont="1"/>
    <xf numFmtId="3" fontId="4" fillId="0" borderId="1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4" fontId="4" fillId="3" borderId="2" xfId="6" applyNumberFormat="1" applyFont="1" applyFill="1" applyBorder="1"/>
    <xf numFmtId="3" fontId="4" fillId="3" borderId="12" xfId="6" applyNumberFormat="1" applyFont="1" applyFill="1" applyBorder="1"/>
    <xf numFmtId="3" fontId="4" fillId="3" borderId="21" xfId="6" applyNumberFormat="1" applyFont="1" applyFill="1" applyBorder="1"/>
    <xf numFmtId="3" fontId="2" fillId="0" borderId="0" xfId="0" applyNumberFormat="1" applyFont="1" applyBorder="1"/>
    <xf numFmtId="3" fontId="2" fillId="0" borderId="14" xfId="0" applyNumberFormat="1" applyFont="1" applyBorder="1"/>
    <xf numFmtId="0" fontId="2" fillId="0" borderId="8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19" xfId="0" applyFont="1" applyBorder="1"/>
    <xf numFmtId="4" fontId="4" fillId="3" borderId="22" xfId="6" applyNumberFormat="1" applyFont="1" applyFill="1" applyBorder="1"/>
    <xf numFmtId="3" fontId="4" fillId="3" borderId="23" xfId="6" applyNumberFormat="1" applyFont="1" applyFill="1" applyBorder="1"/>
    <xf numFmtId="3" fontId="4" fillId="3" borderId="24" xfId="6" applyNumberFormat="1" applyFont="1" applyFill="1" applyBorder="1"/>
    <xf numFmtId="0" fontId="4" fillId="3" borderId="10" xfId="6" applyFont="1" applyFill="1" applyBorder="1"/>
    <xf numFmtId="0" fontId="4" fillId="3" borderId="11" xfId="6" applyFont="1" applyFill="1" applyBorder="1"/>
    <xf numFmtId="0" fontId="4" fillId="3" borderId="20" xfId="6" applyFont="1" applyFill="1" applyBorder="1"/>
    <xf numFmtId="3" fontId="4" fillId="3" borderId="25" xfId="6" applyNumberFormat="1" applyFont="1" applyFill="1" applyBorder="1"/>
    <xf numFmtId="3" fontId="4" fillId="3" borderId="26" xfId="6" applyNumberFormat="1" applyFont="1" applyFill="1" applyBorder="1"/>
    <xf numFmtId="0" fontId="4" fillId="0" borderId="10" xfId="6" applyFont="1" applyBorder="1"/>
    <xf numFmtId="0" fontId="4" fillId="0" borderId="11" xfId="6" applyFont="1" applyBorder="1"/>
    <xf numFmtId="0" fontId="4" fillId="0" borderId="20" xfId="6" applyFont="1" applyBorder="1"/>
    <xf numFmtId="4" fontId="4" fillId="0" borderId="20" xfId="6" applyNumberFormat="1" applyFont="1" applyBorder="1"/>
    <xf numFmtId="4" fontId="4" fillId="0" borderId="11" xfId="6" applyNumberFormat="1" applyFont="1" applyBorder="1"/>
    <xf numFmtId="4" fontId="4" fillId="0" borderId="13" xfId="6" applyNumberFormat="1" applyFont="1" applyBorder="1"/>
    <xf numFmtId="0" fontId="4" fillId="0" borderId="8" xfId="0" applyFont="1" applyFill="1" applyBorder="1" applyAlignment="1">
      <alignment horizontal="left"/>
    </xf>
    <xf numFmtId="3" fontId="4" fillId="0" borderId="0" xfId="6" applyNumberFormat="1" applyFont="1" applyAlignment="1">
      <alignment vertical="center"/>
    </xf>
    <xf numFmtId="0" fontId="4" fillId="0" borderId="8" xfId="0" applyFont="1" applyFill="1" applyBorder="1" applyAlignment="1"/>
    <xf numFmtId="3" fontId="4" fillId="0" borderId="0" xfId="6" applyNumberFormat="1" applyFont="1"/>
    <xf numFmtId="3" fontId="4" fillId="0" borderId="0" xfId="6" applyNumberFormat="1" applyFont="1" applyBorder="1"/>
    <xf numFmtId="0" fontId="2" fillId="0" borderId="0" xfId="6" applyFont="1"/>
    <xf numFmtId="3" fontId="4" fillId="3" borderId="11" xfId="6" applyNumberFormat="1" applyFont="1" applyFill="1" applyBorder="1"/>
    <xf numFmtId="3" fontId="4" fillId="3" borderId="13" xfId="6" applyNumberFormat="1" applyFont="1" applyFill="1" applyBorder="1"/>
    <xf numFmtId="4" fontId="4" fillId="0" borderId="0" xfId="6" applyNumberFormat="1" applyFont="1" applyAlignment="1">
      <alignment horizontal="right" vertical="center"/>
    </xf>
    <xf numFmtId="4" fontId="4" fillId="0" borderId="0" xfId="6" applyNumberFormat="1" applyFont="1" applyAlignment="1">
      <alignment horizontal="right"/>
    </xf>
    <xf numFmtId="0" fontId="4" fillId="0" borderId="0" xfId="6" applyFont="1" applyBorder="1"/>
    <xf numFmtId="4" fontId="4" fillId="0" borderId="0" xfId="6" applyNumberFormat="1" applyFont="1" applyBorder="1" applyAlignment="1">
      <alignment horizontal="right"/>
    </xf>
    <xf numFmtId="0" fontId="8" fillId="0" borderId="0" xfId="6" applyFont="1" applyBorder="1"/>
    <xf numFmtId="0" fontId="4" fillId="0" borderId="0" xfId="6" applyFont="1" applyBorder="1" applyAlignment="1">
      <alignment horizontal="right"/>
    </xf>
    <xf numFmtId="3" fontId="2" fillId="0" borderId="0" xfId="6" applyNumberFormat="1" applyFont="1"/>
    <xf numFmtId="165" fontId="1" fillId="0" borderId="0" xfId="1" applyNumberFormat="1"/>
    <xf numFmtId="0" fontId="17" fillId="0" borderId="0" xfId="0" applyFont="1" applyAlignment="1"/>
    <xf numFmtId="165" fontId="17" fillId="0" borderId="0" xfId="1" applyNumberFormat="1" applyFont="1" applyFill="1" applyBorder="1" applyAlignment="1" applyProtection="1"/>
    <xf numFmtId="0" fontId="4" fillId="4" borderId="1" xfId="0" applyFont="1" applyFill="1" applyBorder="1" applyAlignment="1">
      <alignment horizontal="center" vertical="center" wrapText="1"/>
    </xf>
    <xf numFmtId="3" fontId="4" fillId="5" borderId="1" xfId="6" applyNumberFormat="1" applyFont="1" applyFill="1" applyBorder="1" applyAlignment="1">
      <alignment horizontal="center" vertical="center" wrapText="1"/>
    </xf>
    <xf numFmtId="3" fontId="16" fillId="5" borderId="1" xfId="6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3" fontId="4" fillId="0" borderId="1" xfId="6" applyNumberFormat="1" applyFont="1" applyFill="1" applyBorder="1" applyAlignment="1">
      <alignment horizontal="center" vertical="center" wrapText="1"/>
    </xf>
    <xf numFmtId="3" fontId="16" fillId="0" borderId="1" xfId="6" applyNumberFormat="1" applyFont="1" applyFill="1" applyBorder="1" applyAlignment="1">
      <alignment horizontal="center" vertical="center" wrapText="1"/>
    </xf>
    <xf numFmtId="10" fontId="4" fillId="0" borderId="14" xfId="7" applyNumberFormat="1" applyFont="1" applyBorder="1" applyAlignment="1">
      <alignment horizontal="right"/>
    </xf>
    <xf numFmtId="10" fontId="2" fillId="0" borderId="0" xfId="7" applyNumberFormat="1" applyFont="1" applyBorder="1" applyAlignment="1">
      <alignment horizontal="center"/>
    </xf>
    <xf numFmtId="10" fontId="4" fillId="3" borderId="24" xfId="7" applyNumberFormat="1" applyFont="1" applyFill="1" applyBorder="1"/>
    <xf numFmtId="10" fontId="4" fillId="0" borderId="2" xfId="7" applyNumberFormat="1" applyFont="1" applyBorder="1" applyAlignment="1">
      <alignment horizontal="right"/>
    </xf>
    <xf numFmtId="10" fontId="4" fillId="3" borderId="2" xfId="7" applyNumberFormat="1" applyFont="1" applyFill="1" applyBorder="1" applyAlignment="1">
      <alignment horizontal="right"/>
    </xf>
    <xf numFmtId="10" fontId="2" fillId="0" borderId="0" xfId="7" applyNumberFormat="1" applyFont="1"/>
    <xf numFmtId="10" fontId="0" fillId="0" borderId="0" xfId="7" applyNumberFormat="1" applyFont="1"/>
    <xf numFmtId="10" fontId="3" fillId="0" borderId="0" xfId="7" applyNumberFormat="1" applyFont="1"/>
    <xf numFmtId="10" fontId="16" fillId="0" borderId="1" xfId="7" applyNumberFormat="1" applyFont="1" applyFill="1" applyBorder="1" applyAlignment="1">
      <alignment horizontal="center" vertical="center" wrapText="1"/>
    </xf>
    <xf numFmtId="10" fontId="4" fillId="3" borderId="2" xfId="7" applyNumberFormat="1" applyFont="1" applyFill="1" applyBorder="1"/>
    <xf numFmtId="10" fontId="4" fillId="3" borderId="0" xfId="7" applyNumberFormat="1" applyFont="1" applyFill="1" applyAlignment="1">
      <alignment horizontal="right"/>
    </xf>
    <xf numFmtId="10" fontId="4" fillId="3" borderId="13" xfId="7" applyNumberFormat="1" applyFont="1" applyFill="1" applyBorder="1"/>
    <xf numFmtId="10" fontId="2" fillId="0" borderId="8" xfId="7" applyNumberFormat="1" applyFont="1" applyFill="1" applyBorder="1"/>
    <xf numFmtId="10" fontId="4" fillId="3" borderId="11" xfId="7" applyNumberFormat="1" applyFont="1" applyFill="1" applyBorder="1"/>
    <xf numFmtId="10" fontId="4" fillId="3" borderId="21" xfId="7" applyNumberFormat="1" applyFont="1" applyFill="1" applyBorder="1"/>
    <xf numFmtId="10" fontId="4" fillId="3" borderId="26" xfId="7" applyNumberFormat="1" applyFont="1" applyFill="1" applyBorder="1"/>
    <xf numFmtId="10" fontId="4" fillId="0" borderId="13" xfId="7" applyNumberFormat="1" applyFont="1" applyBorder="1"/>
    <xf numFmtId="10" fontId="4" fillId="0" borderId="0" xfId="7" applyNumberFormat="1" applyFont="1" applyAlignment="1">
      <alignment vertical="center"/>
    </xf>
    <xf numFmtId="3" fontId="2" fillId="0" borderId="14" xfId="1" applyNumberFormat="1" applyFont="1" applyFill="1" applyBorder="1" applyAlignment="1" applyProtection="1">
      <alignment horizontal="center"/>
    </xf>
    <xf numFmtId="3" fontId="4" fillId="0" borderId="10" xfId="3" applyNumberFormat="1" applyFont="1" applyBorder="1" applyAlignment="1">
      <alignment horizontal="right" vertical="center"/>
    </xf>
    <xf numFmtId="3" fontId="2" fillId="0" borderId="10" xfId="3" applyNumberFormat="1" applyBorder="1" applyAlignment="1">
      <alignment horizontal="right" vertical="center"/>
    </xf>
    <xf numFmtId="3" fontId="16" fillId="0" borderId="16" xfId="6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4" fillId="3" borderId="6" xfId="7" applyNumberFormat="1" applyFont="1" applyFill="1" applyBorder="1" applyAlignment="1">
      <alignment horizontal="right"/>
    </xf>
    <xf numFmtId="10" fontId="4" fillId="0" borderId="2" xfId="7" applyNumberFormat="1" applyFont="1" applyBorder="1"/>
    <xf numFmtId="10" fontId="2" fillId="0" borderId="0" xfId="7" applyNumberFormat="1" applyFont="1" applyFill="1" applyAlignment="1">
      <alignment horizontal="right"/>
    </xf>
    <xf numFmtId="10" fontId="4" fillId="3" borderId="11" xfId="7" applyNumberFormat="1" applyFont="1" applyFill="1" applyBorder="1" applyAlignment="1">
      <alignment horizontal="right"/>
    </xf>
    <xf numFmtId="165" fontId="1" fillId="0" borderId="0" xfId="1" applyNumberFormat="1" applyAlignment="1">
      <alignment horizontal="right"/>
    </xf>
    <xf numFmtId="10" fontId="4" fillId="0" borderId="0" xfId="7" applyNumberFormat="1" applyFont="1" applyAlignment="1"/>
    <xf numFmtId="10" fontId="2" fillId="0" borderId="0" xfId="7" applyNumberFormat="1" applyFont="1" applyAlignment="1"/>
    <xf numFmtId="10" fontId="4" fillId="3" borderId="0" xfId="7" applyNumberFormat="1" applyFont="1" applyFill="1" applyAlignment="1">
      <alignment wrapText="1"/>
    </xf>
    <xf numFmtId="10" fontId="4" fillId="3" borderId="0" xfId="7" applyNumberFormat="1" applyFont="1" applyFill="1" applyAlignment="1"/>
    <xf numFmtId="10" fontId="2" fillId="0" borderId="8" xfId="7" applyNumberFormat="1" applyFont="1" applyFill="1" applyBorder="1" applyAlignment="1"/>
    <xf numFmtId="10" fontId="4" fillId="3" borderId="11" xfId="7" applyNumberFormat="1" applyFont="1" applyFill="1" applyBorder="1" applyAlignment="1"/>
    <xf numFmtId="165" fontId="2" fillId="0" borderId="0" xfId="0" applyNumberFormat="1" applyFont="1"/>
    <xf numFmtId="10" fontId="4" fillId="0" borderId="0" xfId="7" applyNumberFormat="1" applyFont="1" applyAlignment="1">
      <alignment horizontal="right"/>
    </xf>
    <xf numFmtId="10" fontId="4" fillId="0" borderId="2" xfId="7" applyNumberFormat="1" applyFont="1" applyBorder="1" applyAlignment="1"/>
    <xf numFmtId="10" fontId="2" fillId="0" borderId="2" xfId="7" applyNumberFormat="1" applyFont="1" applyBorder="1" applyAlignment="1"/>
    <xf numFmtId="10" fontId="2" fillId="0" borderId="2" xfId="7" applyNumberFormat="1" applyFont="1" applyBorder="1" applyAlignment="1">
      <alignment horizontal="right"/>
    </xf>
    <xf numFmtId="10" fontId="2" fillId="0" borderId="2" xfId="7" applyNumberFormat="1" applyFont="1" applyBorder="1"/>
    <xf numFmtId="9" fontId="2" fillId="3" borderId="2" xfId="7" applyFont="1" applyFill="1" applyBorder="1" applyAlignment="1">
      <alignment horizontal="right"/>
    </xf>
    <xf numFmtId="10" fontId="2" fillId="0" borderId="0" xfId="7" applyNumberFormat="1" applyFont="1" applyAlignment="1">
      <alignment horizontal="right"/>
    </xf>
    <xf numFmtId="3" fontId="2" fillId="0" borderId="12" xfId="4" applyNumberFormat="1" applyFont="1" applyBorder="1"/>
    <xf numFmtId="3" fontId="2" fillId="0" borderId="8" xfId="4" applyNumberFormat="1" applyFont="1" applyBorder="1"/>
    <xf numFmtId="3" fontId="2" fillId="0" borderId="28" xfId="4" applyNumberFormat="1" applyFont="1" applyBorder="1"/>
    <xf numFmtId="10" fontId="2" fillId="0" borderId="28" xfId="2" applyNumberFormat="1" applyFont="1" applyBorder="1" applyAlignment="1">
      <alignment horizontal="right" vertical="center" wrapText="1"/>
    </xf>
    <xf numFmtId="0" fontId="2" fillId="0" borderId="28" xfId="4" applyFont="1" applyBorder="1" applyAlignment="1">
      <alignment horizontal="left"/>
    </xf>
    <xf numFmtId="3" fontId="2" fillId="0" borderId="28" xfId="2" applyNumberFormat="1" applyBorder="1" applyAlignment="1">
      <alignment horizontal="right" vertical="center" wrapText="1"/>
    </xf>
    <xf numFmtId="3" fontId="2" fillId="0" borderId="28" xfId="2" applyNumberFormat="1" applyFont="1" applyBorder="1" applyAlignment="1">
      <alignment horizontal="right" vertical="center" wrapText="1"/>
    </xf>
    <xf numFmtId="0" fontId="2" fillId="0" borderId="28" xfId="2" applyFont="1" applyBorder="1" applyAlignment="1">
      <alignment vertical="center" wrapText="1"/>
    </xf>
    <xf numFmtId="0" fontId="2" fillId="0" borderId="28" xfId="2" applyBorder="1"/>
    <xf numFmtId="10" fontId="2" fillId="0" borderId="28" xfId="4" applyNumberFormat="1" applyFont="1" applyBorder="1"/>
    <xf numFmtId="0" fontId="2" fillId="0" borderId="28" xfId="4" applyFont="1" applyBorder="1" applyAlignment="1">
      <alignment horizontal="justify"/>
    </xf>
    <xf numFmtId="0" fontId="2" fillId="0" borderId="23" xfId="2" applyBorder="1"/>
    <xf numFmtId="0" fontId="2" fillId="0" borderId="23" xfId="2" applyFont="1" applyBorder="1" applyAlignment="1">
      <alignment vertical="center" wrapText="1"/>
    </xf>
    <xf numFmtId="3" fontId="2" fillId="0" borderId="23" xfId="2" applyNumberFormat="1" applyBorder="1" applyAlignment="1">
      <alignment horizontal="right" vertical="center" wrapText="1"/>
    </xf>
    <xf numFmtId="3" fontId="2" fillId="0" borderId="23" xfId="2" applyNumberFormat="1" applyFont="1" applyBorder="1" applyAlignment="1">
      <alignment horizontal="right" vertical="center" wrapText="1"/>
    </xf>
    <xf numFmtId="10" fontId="2" fillId="0" borderId="23" xfId="2" applyNumberFormat="1" applyFont="1" applyBorder="1" applyAlignment="1">
      <alignment horizontal="right" vertical="center" wrapText="1"/>
    </xf>
    <xf numFmtId="0" fontId="2" fillId="0" borderId="19" xfId="2" applyBorder="1"/>
    <xf numFmtId="0" fontId="4" fillId="0" borderId="19" xfId="2" applyFont="1" applyBorder="1" applyAlignment="1">
      <alignment wrapText="1"/>
    </xf>
    <xf numFmtId="0" fontId="2" fillId="0" borderId="19" xfId="2" applyFont="1" applyBorder="1"/>
    <xf numFmtId="10" fontId="2" fillId="0" borderId="19" xfId="2" applyNumberFormat="1" applyFont="1" applyBorder="1"/>
    <xf numFmtId="0" fontId="2" fillId="0" borderId="27" xfId="2" applyBorder="1"/>
    <xf numFmtId="0" fontId="4" fillId="0" borderId="27" xfId="2" applyFont="1" applyBorder="1" applyAlignment="1">
      <alignment wrapText="1"/>
    </xf>
    <xf numFmtId="3" fontId="4" fillId="0" borderId="27" xfId="2" applyNumberFormat="1" applyFont="1" applyBorder="1" applyAlignment="1">
      <alignment vertical="center"/>
    </xf>
    <xf numFmtId="10" fontId="4" fillId="0" borderId="27" xfId="2" applyNumberFormat="1" applyFont="1" applyBorder="1" applyAlignment="1">
      <alignment vertical="center"/>
    </xf>
    <xf numFmtId="0" fontId="2" fillId="0" borderId="23" xfId="4" applyFont="1" applyBorder="1" applyAlignment="1">
      <alignment horizontal="justify"/>
    </xf>
    <xf numFmtId="3" fontId="2" fillId="0" borderId="23" xfId="4" applyNumberFormat="1" applyFont="1" applyBorder="1"/>
    <xf numFmtId="10" fontId="2" fillId="0" borderId="23" xfId="4" applyNumberFormat="1" applyFont="1" applyBorder="1"/>
    <xf numFmtId="3" fontId="4" fillId="0" borderId="27" xfId="2" applyNumberFormat="1" applyFont="1" applyBorder="1" applyAlignment="1">
      <alignment horizontal="right" wrapText="1"/>
    </xf>
    <xf numFmtId="10" fontId="4" fillId="0" borderId="27" xfId="4" applyNumberFormat="1" applyFont="1" applyBorder="1"/>
    <xf numFmtId="0" fontId="4" fillId="0" borderId="0" xfId="2" applyFont="1" applyBorder="1" applyAlignment="1">
      <alignment horizontal="center" vertical="center" wrapText="1"/>
    </xf>
    <xf numFmtId="0" fontId="2" fillId="0" borderId="19" xfId="4" applyFont="1" applyBorder="1" applyAlignment="1">
      <alignment horizontal="left"/>
    </xf>
    <xf numFmtId="3" fontId="2" fillId="0" borderId="19" xfId="4" applyNumberFormat="1" applyFont="1" applyBorder="1"/>
    <xf numFmtId="10" fontId="2" fillId="0" borderId="19" xfId="2" applyNumberFormat="1" applyFont="1" applyBorder="1" applyAlignment="1">
      <alignment horizontal="right" vertical="center" wrapText="1"/>
    </xf>
    <xf numFmtId="0" fontId="4" fillId="0" borderId="27" xfId="2" applyFont="1" applyBorder="1" applyAlignment="1">
      <alignment horizontal="center" vertical="center" wrapText="1"/>
    </xf>
    <xf numFmtId="3" fontId="4" fillId="0" borderId="27" xfId="6" applyNumberFormat="1" applyFont="1" applyBorder="1" applyAlignment="1">
      <alignment horizontal="center" vertical="center" wrapText="1"/>
    </xf>
    <xf numFmtId="3" fontId="16" fillId="0" borderId="27" xfId="6" applyNumberFormat="1" applyFont="1" applyBorder="1" applyAlignment="1">
      <alignment horizontal="center" vertical="center" wrapText="1"/>
    </xf>
    <xf numFmtId="9" fontId="2" fillId="0" borderId="14" xfId="7" applyFont="1" applyBorder="1" applyAlignment="1">
      <alignment horizontal="right" vertical="center" wrapText="1"/>
    </xf>
    <xf numFmtId="9" fontId="2" fillId="0" borderId="29" xfId="7" applyFont="1" applyBorder="1" applyAlignment="1">
      <alignment horizontal="right" vertical="center" wrapText="1"/>
    </xf>
    <xf numFmtId="10" fontId="2" fillId="0" borderId="0" xfId="7" applyNumberFormat="1" applyFont="1" applyAlignment="1">
      <alignment horizontal="right" vertical="center" wrapText="1"/>
    </xf>
    <xf numFmtId="10" fontId="4" fillId="0" borderId="3" xfId="7" applyNumberFormat="1" applyFont="1" applyBorder="1" applyAlignment="1">
      <alignment horizontal="right" wrapText="1"/>
    </xf>
    <xf numFmtId="10" fontId="4" fillId="0" borderId="11" xfId="7" applyNumberFormat="1" applyFont="1" applyBorder="1" applyAlignment="1">
      <alignment wrapText="1"/>
    </xf>
    <xf numFmtId="3" fontId="2" fillId="0" borderId="10" xfId="3" applyNumberFormat="1" applyFont="1" applyBorder="1" applyAlignment="1">
      <alignment horizontal="right" vertical="center"/>
    </xf>
    <xf numFmtId="3" fontId="4" fillId="0" borderId="32" xfId="3" applyNumberFormat="1" applyFont="1" applyBorder="1" applyAlignment="1">
      <alignment horizontal="right"/>
    </xf>
    <xf numFmtId="10" fontId="2" fillId="0" borderId="27" xfId="7" applyNumberFormat="1" applyFont="1" applyBorder="1" applyAlignment="1">
      <alignment horizontal="right"/>
    </xf>
    <xf numFmtId="10" fontId="2" fillId="0" borderId="34" xfId="7" applyNumberFormat="1" applyFont="1" applyBorder="1"/>
    <xf numFmtId="0" fontId="2" fillId="0" borderId="35" xfId="3" applyFont="1" applyBorder="1" applyAlignment="1">
      <alignment horizontal="left" vertical="center"/>
    </xf>
    <xf numFmtId="3" fontId="2" fillId="0" borderId="35" xfId="3" applyNumberFormat="1" applyBorder="1" applyAlignment="1">
      <alignment horizontal="right" vertical="center"/>
    </xf>
    <xf numFmtId="3" fontId="2" fillId="0" borderId="36" xfId="3" applyNumberFormat="1" applyBorder="1" applyAlignment="1">
      <alignment horizontal="right" vertical="center"/>
    </xf>
    <xf numFmtId="10" fontId="2" fillId="0" borderId="33" xfId="7" applyNumberFormat="1" applyFont="1" applyBorder="1"/>
    <xf numFmtId="3" fontId="2" fillId="0" borderId="16" xfId="3" applyNumberFormat="1" applyFont="1" applyBorder="1" applyAlignment="1">
      <alignment horizontal="right" vertical="center"/>
    </xf>
    <xf numFmtId="3" fontId="2" fillId="0" borderId="30" xfId="3" applyNumberFormat="1" applyFont="1" applyBorder="1" applyAlignment="1">
      <alignment horizontal="right" vertical="center"/>
    </xf>
    <xf numFmtId="3" fontId="2" fillId="0" borderId="17" xfId="3" applyNumberFormat="1" applyFont="1" applyBorder="1" applyAlignment="1">
      <alignment horizontal="right" vertical="center"/>
    </xf>
    <xf numFmtId="3" fontId="2" fillId="0" borderId="31" xfId="3" applyNumberFormat="1" applyFont="1" applyBorder="1" applyAlignment="1">
      <alignment horizontal="right" vertical="center"/>
    </xf>
    <xf numFmtId="0" fontId="2" fillId="0" borderId="27" xfId="3" applyFont="1" applyBorder="1" applyAlignment="1">
      <alignment vertical="center"/>
    </xf>
    <xf numFmtId="10" fontId="2" fillId="0" borderId="27" xfId="7" applyNumberFormat="1" applyFont="1" applyBorder="1" applyAlignment="1">
      <alignment vertical="center"/>
    </xf>
    <xf numFmtId="10" fontId="2" fillId="0" borderId="33" xfId="7" applyNumberFormat="1" applyFont="1" applyBorder="1" applyAlignment="1">
      <alignment vertical="center"/>
    </xf>
    <xf numFmtId="0" fontId="12" fillId="0" borderId="27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2" fillId="0" borderId="27" xfId="0" applyNumberFormat="1" applyFont="1" applyBorder="1"/>
    <xf numFmtId="3" fontId="4" fillId="0" borderId="27" xfId="0" applyNumberFormat="1" applyFont="1" applyBorder="1" applyAlignment="1">
      <alignment horizontal="right"/>
    </xf>
    <xf numFmtId="10" fontId="4" fillId="0" borderId="4" xfId="7" applyNumberFormat="1" applyFont="1" applyBorder="1"/>
    <xf numFmtId="10" fontId="4" fillId="0" borderId="6" xfId="7" applyNumberFormat="1" applyFont="1" applyBorder="1"/>
    <xf numFmtId="10" fontId="4" fillId="2" borderId="4" xfId="7" applyNumberFormat="1" applyFont="1" applyFill="1" applyBorder="1"/>
    <xf numFmtId="3" fontId="4" fillId="6" borderId="1" xfId="6" applyNumberFormat="1" applyFont="1" applyFill="1" applyBorder="1" applyAlignment="1">
      <alignment horizontal="center" vertical="center" wrapText="1"/>
    </xf>
    <xf numFmtId="3" fontId="16" fillId="6" borderId="1" xfId="6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0" borderId="12" xfId="7" applyNumberFormat="1" applyFont="1" applyBorder="1" applyAlignment="1">
      <alignment horizontal="right"/>
    </xf>
    <xf numFmtId="10" fontId="2" fillId="0" borderId="8" xfId="7" applyNumberFormat="1" applyFont="1" applyBorder="1" applyAlignment="1">
      <alignment horizontal="right"/>
    </xf>
    <xf numFmtId="10" fontId="4" fillId="3" borderId="13" xfId="7" applyNumberFormat="1" applyFont="1" applyFill="1" applyBorder="1" applyAlignment="1">
      <alignment horizontal="right"/>
    </xf>
    <xf numFmtId="0" fontId="4" fillId="0" borderId="12" xfId="4" applyFont="1" applyBorder="1" applyAlignment="1">
      <alignment horizontal="left"/>
    </xf>
    <xf numFmtId="3" fontId="2" fillId="0" borderId="12" xfId="4" applyNumberFormat="1" applyFont="1" applyBorder="1" applyAlignment="1">
      <alignment horizontal="right"/>
    </xf>
    <xf numFmtId="0" fontId="2" fillId="0" borderId="12" xfId="4" applyFont="1" applyBorder="1" applyAlignment="1">
      <alignment horizontal="right"/>
    </xf>
    <xf numFmtId="49" fontId="4" fillId="0" borderId="8" xfId="4" applyNumberFormat="1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9" xfId="4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10" fontId="4" fillId="0" borderId="34" xfId="7" applyNumberFormat="1" applyFont="1" applyBorder="1" applyAlignment="1"/>
    <xf numFmtId="10" fontId="4" fillId="0" borderId="27" xfId="7" applyNumberFormat="1" applyFont="1" applyBorder="1" applyAlignment="1">
      <alignment vertical="center"/>
    </xf>
    <xf numFmtId="0" fontId="18" fillId="0" borderId="0" xfId="8"/>
    <xf numFmtId="0" fontId="21" fillId="8" borderId="0" xfId="8" applyFont="1" applyFill="1" applyAlignment="1">
      <alignment horizontal="center" vertical="top" wrapText="1"/>
    </xf>
    <xf numFmtId="0" fontId="8" fillId="0" borderId="0" xfId="8" applyFont="1" applyBorder="1" applyAlignment="1">
      <alignment horizontal="right"/>
    </xf>
    <xf numFmtId="0" fontId="20" fillId="0" borderId="27" xfId="8" applyFont="1" applyBorder="1" applyAlignment="1">
      <alignment horizontal="center" vertical="top" wrapText="1"/>
    </xf>
    <xf numFmtId="0" fontId="20" fillId="0" borderId="27" xfId="8" applyFont="1" applyBorder="1" applyAlignment="1">
      <alignment horizontal="left" vertical="top" wrapText="1"/>
    </xf>
    <xf numFmtId="3" fontId="20" fillId="0" borderId="27" xfId="8" applyNumberFormat="1" applyFont="1" applyBorder="1" applyAlignment="1">
      <alignment horizontal="right" vertical="top" wrapText="1"/>
    </xf>
    <xf numFmtId="0" fontId="19" fillId="0" borderId="27" xfId="8" applyFont="1" applyBorder="1" applyAlignment="1">
      <alignment horizontal="center" vertical="top" wrapText="1"/>
    </xf>
    <xf numFmtId="0" fontId="19" fillId="0" borderId="27" xfId="8" applyFont="1" applyBorder="1" applyAlignment="1">
      <alignment horizontal="left" vertical="top" wrapText="1"/>
    </xf>
    <xf numFmtId="3" fontId="19" fillId="0" borderId="27" xfId="8" applyNumberFormat="1" applyFont="1" applyBorder="1" applyAlignment="1">
      <alignment horizontal="right" vertical="top" wrapText="1"/>
    </xf>
    <xf numFmtId="0" fontId="12" fillId="8" borderId="0" xfId="8" applyFont="1" applyFill="1" applyAlignment="1">
      <alignment horizontal="center" vertical="top" wrapText="1"/>
    </xf>
    <xf numFmtId="0" fontId="18" fillId="0" borderId="0" xfId="8" applyAlignment="1">
      <alignment horizontal="right"/>
    </xf>
    <xf numFmtId="0" fontId="18" fillId="0" borderId="0" xfId="8" applyAlignment="1">
      <alignment horizontal="center"/>
    </xf>
    <xf numFmtId="0" fontId="17" fillId="0" borderId="27" xfId="8" applyFont="1" applyBorder="1" applyAlignment="1">
      <alignment horizontal="center" vertical="top" wrapText="1"/>
    </xf>
    <xf numFmtId="0" fontId="17" fillId="0" borderId="27" xfId="8" applyFont="1" applyBorder="1" applyAlignment="1">
      <alignment horizontal="left" vertical="top" wrapText="1"/>
    </xf>
    <xf numFmtId="3" fontId="17" fillId="0" borderId="27" xfId="8" applyNumberFormat="1" applyFont="1" applyBorder="1" applyAlignment="1">
      <alignment horizontal="right" vertical="top" wrapText="1"/>
    </xf>
    <xf numFmtId="0" fontId="5" fillId="0" borderId="27" xfId="8" applyFont="1" applyBorder="1" applyAlignment="1">
      <alignment horizontal="center" vertical="top" wrapText="1"/>
    </xf>
    <xf numFmtId="0" fontId="5" fillId="0" borderId="27" xfId="8" applyFont="1" applyBorder="1" applyAlignment="1">
      <alignment horizontal="left" vertical="top" wrapText="1"/>
    </xf>
    <xf numFmtId="3" fontId="5" fillId="0" borderId="27" xfId="8" applyNumberFormat="1" applyFont="1" applyBorder="1" applyAlignment="1">
      <alignment horizontal="right" vertical="top" wrapText="1"/>
    </xf>
    <xf numFmtId="0" fontId="12" fillId="8" borderId="27" xfId="8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6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/>
    <xf numFmtId="0" fontId="2" fillId="0" borderId="0" xfId="4" applyFont="1" applyBorder="1" applyAlignment="1">
      <alignment horizontal="center" vertical="center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justify"/>
    </xf>
    <xf numFmtId="0" fontId="4" fillId="0" borderId="32" xfId="0" applyFont="1" applyBorder="1" applyAlignment="1">
      <alignment horizontal="justify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2" fillId="0" borderId="0" xfId="5" applyFont="1" applyBorder="1" applyAlignment="1">
      <alignment horizontal="right"/>
    </xf>
    <xf numFmtId="0" fontId="4" fillId="0" borderId="1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3" borderId="22" xfId="6" applyFont="1" applyFill="1" applyBorder="1" applyAlignment="1">
      <alignment horizontal="left"/>
    </xf>
    <xf numFmtId="0" fontId="4" fillId="3" borderId="6" xfId="6" applyFont="1" applyFill="1" applyBorder="1" applyAlignment="1">
      <alignment horizontal="left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0" fillId="0" borderId="3" xfId="0" applyBorder="1" applyAlignment="1"/>
    <xf numFmtId="0" fontId="4" fillId="3" borderId="2" xfId="6" applyFont="1" applyFill="1" applyBorder="1" applyAlignment="1">
      <alignment horizontal="left"/>
    </xf>
    <xf numFmtId="0" fontId="4" fillId="0" borderId="1" xfId="6" applyFont="1" applyBorder="1" applyAlignment="1">
      <alignment horizontal="center" vertical="center"/>
    </xf>
    <xf numFmtId="3" fontId="4" fillId="0" borderId="1" xfId="6" applyNumberFormat="1" applyFont="1" applyBorder="1" applyAlignment="1">
      <alignment horizontal="center" vertical="center" wrapText="1"/>
    </xf>
    <xf numFmtId="0" fontId="21" fillId="8" borderId="0" xfId="8" applyFont="1" applyFill="1" applyAlignment="1">
      <alignment horizontal="center" vertical="top" wrapText="1"/>
    </xf>
    <xf numFmtId="0" fontId="18" fillId="0" borderId="0" xfId="8"/>
    <xf numFmtId="0" fontId="8" fillId="0" borderId="0" xfId="8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2" fillId="8" borderId="27" xfId="8" applyFont="1" applyFill="1" applyBorder="1" applyAlignment="1">
      <alignment horizontal="center" vertical="top" wrapText="1"/>
    </xf>
    <xf numFmtId="0" fontId="18" fillId="0" borderId="27" xfId="8" applyBorder="1"/>
    <xf numFmtId="0" fontId="18" fillId="0" borderId="0" xfId="8" applyAlignment="1">
      <alignment horizontal="right"/>
    </xf>
    <xf numFmtId="0" fontId="18" fillId="0" borderId="0" xfId="8" applyAlignment="1">
      <alignment horizontal="center"/>
    </xf>
    <xf numFmtId="0" fontId="0" fillId="0" borderId="0" xfId="0" applyAlignment="1">
      <alignment horizontal="center"/>
    </xf>
    <xf numFmtId="0" fontId="12" fillId="8" borderId="0" xfId="8" applyFont="1" applyFill="1" applyAlignment="1">
      <alignment horizontal="center" vertical="top" wrapText="1"/>
    </xf>
  </cellXfs>
  <cellStyles count="9">
    <cellStyle name="Ezres" xfId="1" builtinId="3"/>
    <cellStyle name="Normál" xfId="0" builtinId="0"/>
    <cellStyle name="Normál 2" xfId="8" xr:uid="{00000000-0005-0000-0000-000002000000}"/>
    <cellStyle name="Normál_2010. évi költségvetés mellékletek" xfId="2" xr:uid="{00000000-0005-0000-0000-000003000000}"/>
    <cellStyle name="Normál_2010. évi költségvetés mellékletek_Mkálla 3.4 éves ktgvetés mód. 2013. 2" xfId="3" xr:uid="{00000000-0005-0000-0000-000004000000}"/>
    <cellStyle name="Normál_Köveskál 2014. évi költségvetés" xfId="4" xr:uid="{00000000-0005-0000-0000-000005000000}"/>
    <cellStyle name="Normál_Mkálla 3.4 éves ktgvetés mód. 2013. 2" xfId="5" xr:uid="{00000000-0005-0000-0000-000006000000}"/>
    <cellStyle name="Normál_Mkálla ktgvetés 2013." xfId="6" xr:uid="{00000000-0005-0000-0000-000007000000}"/>
    <cellStyle name="Százalék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8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"/>
  <sheetViews>
    <sheetView view="pageBreakPreview" zoomScale="120" zoomScaleNormal="120" zoomScaleSheetLayoutView="120" workbookViewId="0">
      <selection activeCell="C7" sqref="C7"/>
    </sheetView>
  </sheetViews>
  <sheetFormatPr defaultColWidth="9.140625" defaultRowHeight="12.75" x14ac:dyDescent="0.2"/>
  <cols>
    <col min="1" max="1" width="4.42578125" style="1" customWidth="1"/>
    <col min="2" max="2" width="66.42578125" style="1" customWidth="1"/>
    <col min="3" max="3" width="16.140625" style="1" customWidth="1"/>
    <col min="4" max="4" width="16.28515625" style="1" customWidth="1"/>
    <col min="5" max="5" width="12.85546875" style="2" customWidth="1"/>
    <col min="6" max="6" width="14" style="1" customWidth="1"/>
    <col min="7" max="16384" width="9.140625" style="1"/>
  </cols>
  <sheetData>
    <row r="1" spans="1:6" ht="15.75" x14ac:dyDescent="0.25">
      <c r="A1" s="392" t="s">
        <v>354</v>
      </c>
      <c r="B1" s="392"/>
      <c r="C1" s="392"/>
      <c r="D1" s="392"/>
      <c r="E1" s="394"/>
      <c r="F1" s="394"/>
    </row>
    <row r="2" spans="1:6" s="4" customFormat="1" ht="15.75" x14ac:dyDescent="0.25">
      <c r="A2" s="392"/>
      <c r="B2" s="392"/>
      <c r="C2" s="392"/>
      <c r="D2" s="392"/>
      <c r="E2" s="3"/>
    </row>
    <row r="3" spans="1:6" s="4" customFormat="1" ht="15.75" x14ac:dyDescent="0.25">
      <c r="A3" s="5"/>
      <c r="B3" s="5"/>
      <c r="C3" s="5"/>
      <c r="E3" s="3"/>
    </row>
    <row r="4" spans="1:6" s="4" customFormat="1" ht="24.75" customHeight="1" x14ac:dyDescent="0.25">
      <c r="A4" s="395" t="s">
        <v>0</v>
      </c>
      <c r="B4" s="395"/>
      <c r="C4" s="395"/>
      <c r="D4" s="395"/>
      <c r="E4" s="394"/>
      <c r="F4" s="394"/>
    </row>
    <row r="5" spans="1:6" s="4" customFormat="1" ht="26.25" customHeight="1" x14ac:dyDescent="0.25">
      <c r="A5" s="395" t="s">
        <v>1</v>
      </c>
      <c r="B5" s="395"/>
      <c r="C5" s="395"/>
      <c r="D5" s="395"/>
      <c r="E5" s="394"/>
      <c r="F5" s="394"/>
    </row>
    <row r="6" spans="1:6" s="7" customFormat="1" ht="19.5" customHeight="1" x14ac:dyDescent="0.25">
      <c r="A6" s="6"/>
      <c r="B6" s="6"/>
      <c r="C6" s="6"/>
      <c r="E6" s="8"/>
    </row>
    <row r="7" spans="1:6" s="4" customFormat="1" ht="54.6" customHeight="1" x14ac:dyDescent="0.25">
      <c r="A7" s="393" t="s">
        <v>2</v>
      </c>
      <c r="B7" s="393"/>
      <c r="C7" s="237" t="s">
        <v>3</v>
      </c>
      <c r="D7" s="237" t="s">
        <v>3</v>
      </c>
      <c r="E7" s="238" t="s">
        <v>350</v>
      </c>
      <c r="F7" s="239" t="s">
        <v>351</v>
      </c>
    </row>
    <row r="8" spans="1:6" s="4" customFormat="1" ht="34.15" customHeight="1" x14ac:dyDescent="0.25">
      <c r="A8" s="393"/>
      <c r="B8" s="393"/>
      <c r="C8" s="237" t="s">
        <v>4</v>
      </c>
      <c r="D8" s="237" t="s">
        <v>5</v>
      </c>
      <c r="E8" s="239" t="s">
        <v>353</v>
      </c>
      <c r="F8" s="239" t="s">
        <v>352</v>
      </c>
    </row>
    <row r="9" spans="1:6" s="4" customFormat="1" ht="31.5" customHeight="1" x14ac:dyDescent="0.25">
      <c r="A9" s="9"/>
      <c r="B9" s="9" t="s">
        <v>6</v>
      </c>
      <c r="C9" s="10">
        <f>SUM(C10:C13)</f>
        <v>79775235.400000006</v>
      </c>
      <c r="D9" s="10">
        <f>SUM(D10:D13)</f>
        <v>96885008</v>
      </c>
      <c r="E9" s="10">
        <f>SUM(E10:E13)</f>
        <v>95276466</v>
      </c>
      <c r="F9" s="267">
        <f>E9/D9</f>
        <v>0.98339741067059627</v>
      </c>
    </row>
    <row r="10" spans="1:6" s="4" customFormat="1" ht="15.75" x14ac:dyDescent="0.25">
      <c r="A10" s="4" t="s">
        <v>7</v>
      </c>
      <c r="B10" s="11" t="s">
        <v>8</v>
      </c>
      <c r="C10" s="12">
        <f>'7.Táj.adatok műk.'!E7</f>
        <v>45769135.399999999</v>
      </c>
      <c r="D10" s="12">
        <f>'7.Táj.adatok műk.'!F7</f>
        <v>60690259</v>
      </c>
      <c r="E10" s="12">
        <f>'7.Táj.adatok műk.'!G7</f>
        <v>60123971</v>
      </c>
      <c r="F10" s="282">
        <f>'7.Táj.adatok műk.'!H7</f>
        <v>0.99066921101786698</v>
      </c>
    </row>
    <row r="11" spans="1:6" s="4" customFormat="1" ht="15.75" x14ac:dyDescent="0.25">
      <c r="A11" s="4" t="s">
        <v>9</v>
      </c>
      <c r="B11" s="11" t="s">
        <v>10</v>
      </c>
      <c r="C11" s="12">
        <f>'7.Táj.adatok műk.'!E8</f>
        <v>9150000</v>
      </c>
      <c r="D11" s="12">
        <f>'7.Táj.adatok műk.'!F8</f>
        <v>10675151</v>
      </c>
      <c r="E11" s="12">
        <f>'7.Táj.adatok műk.'!G8</f>
        <v>9849976</v>
      </c>
      <c r="F11" s="282">
        <f>'7.Táj.adatok műk.'!H8</f>
        <v>0.92270132759714596</v>
      </c>
    </row>
    <row r="12" spans="1:6" s="4" customFormat="1" ht="15.75" x14ac:dyDescent="0.25">
      <c r="A12" s="4" t="s">
        <v>11</v>
      </c>
      <c r="B12" s="11" t="s">
        <v>12</v>
      </c>
      <c r="C12" s="12">
        <f>'7.Táj.adatok műk.'!E9</f>
        <v>24851100</v>
      </c>
      <c r="D12" s="12">
        <f>'7.Táj.adatok műk.'!F9</f>
        <v>25414598</v>
      </c>
      <c r="E12" s="12">
        <f>'7.Táj.adatok műk.'!G9</f>
        <v>25202519</v>
      </c>
      <c r="F12" s="282">
        <f>'7.Táj.adatok műk.'!H9</f>
        <v>0.99165522901444281</v>
      </c>
    </row>
    <row r="13" spans="1:6" s="4" customFormat="1" ht="15.75" x14ac:dyDescent="0.25">
      <c r="A13" s="4" t="s">
        <v>13</v>
      </c>
      <c r="B13" s="11" t="s">
        <v>14</v>
      </c>
      <c r="C13" s="12">
        <f>'7.Táj.adatok műk.'!E10</f>
        <v>5000</v>
      </c>
      <c r="D13" s="12">
        <f>'7.Táj.adatok műk.'!F10</f>
        <v>105000</v>
      </c>
      <c r="E13" s="12">
        <f>'7.Táj.adatok műk.'!G10</f>
        <v>100000</v>
      </c>
      <c r="F13" s="282">
        <f>'7.Táj.adatok műk.'!H10</f>
        <v>0.95238095238095233</v>
      </c>
    </row>
    <row r="14" spans="1:6" s="4" customFormat="1" ht="29.25" customHeight="1" x14ac:dyDescent="0.25">
      <c r="A14" s="9"/>
      <c r="B14" s="9" t="s">
        <v>15</v>
      </c>
      <c r="C14" s="10">
        <f>SUM(C15)</f>
        <v>0</v>
      </c>
      <c r="D14" s="10">
        <f>SUM(D15)</f>
        <v>11988125</v>
      </c>
      <c r="E14" s="10">
        <f>SUM(E15)</f>
        <v>11988125</v>
      </c>
      <c r="F14" s="267">
        <f>SUM(F15)</f>
        <v>1</v>
      </c>
    </row>
    <row r="15" spans="1:6" s="4" customFormat="1" ht="17.25" customHeight="1" x14ac:dyDescent="0.25">
      <c r="A15" s="4" t="s">
        <v>16</v>
      </c>
      <c r="B15" s="4" t="s">
        <v>17</v>
      </c>
      <c r="C15" s="12">
        <f>'8.Táj.adatok felh.'!E8</f>
        <v>0</v>
      </c>
      <c r="D15" s="12">
        <f>'8.Táj.adatok felh.'!F8</f>
        <v>11988125</v>
      </c>
      <c r="E15" s="12">
        <f>'8.Táj.adatok felh.'!G8</f>
        <v>11988125</v>
      </c>
      <c r="F15" s="282">
        <f>'8.Táj.adatok felh.'!H8</f>
        <v>1</v>
      </c>
    </row>
    <row r="16" spans="1:6" s="4" customFormat="1" ht="30" customHeight="1" x14ac:dyDescent="0.25">
      <c r="A16" s="9" t="s">
        <v>18</v>
      </c>
      <c r="B16" s="13" t="s">
        <v>19</v>
      </c>
      <c r="C16" s="10">
        <f>'7.Táj.adatok műk.'!E11</f>
        <v>31351543</v>
      </c>
      <c r="D16" s="10">
        <f>'7.Táj.adatok műk.'!F11</f>
        <v>31878442</v>
      </c>
      <c r="E16" s="10">
        <f>'7.Táj.adatok műk.'!G11</f>
        <v>31878442</v>
      </c>
      <c r="F16" s="267">
        <f>'7.Táj.adatok műk.'!H11</f>
        <v>1</v>
      </c>
    </row>
    <row r="17" spans="1:256" s="16" customFormat="1" ht="30" customHeight="1" x14ac:dyDescent="0.25">
      <c r="A17" s="14"/>
      <c r="B17" s="14" t="s">
        <v>20</v>
      </c>
      <c r="C17" s="15">
        <f>SUM(C9+C14+C16)</f>
        <v>111126778.40000001</v>
      </c>
      <c r="D17" s="15">
        <f>SUM(D9+D14+D16)</f>
        <v>140751575</v>
      </c>
      <c r="E17" s="15">
        <f>SUM(E9+E14+E16)</f>
        <v>139143033</v>
      </c>
      <c r="F17" s="346">
        <f>E17/D17</f>
        <v>0.98857176553796999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256" s="19" customFormat="1" ht="30" customHeight="1" x14ac:dyDescent="0.25">
      <c r="A18" s="17"/>
      <c r="B18" s="17" t="s">
        <v>21</v>
      </c>
      <c r="C18" s="18">
        <f>SUM(C19:C23)</f>
        <v>102630594.25999999</v>
      </c>
      <c r="D18" s="18">
        <f>SUM(D19:D23)</f>
        <v>118345076.40000001</v>
      </c>
      <c r="E18" s="18">
        <f>SUM(E19:E23)</f>
        <v>94039558</v>
      </c>
      <c r="F18" s="347">
        <f>SUM(F19:F23)</f>
        <v>3.9005274157118102</v>
      </c>
    </row>
    <row r="19" spans="1:256" ht="15.75" x14ac:dyDescent="0.25">
      <c r="A19" s="4" t="s">
        <v>22</v>
      </c>
      <c r="B19" s="20" t="s">
        <v>23</v>
      </c>
      <c r="C19" s="12">
        <f>'7.Táj.adatok műk.'!E14</f>
        <v>39848388</v>
      </c>
      <c r="D19" s="12">
        <f>'7.Táj.adatok műk.'!F14</f>
        <v>47344783</v>
      </c>
      <c r="E19" s="12">
        <f>'7.Táj.adatok műk.'!G14</f>
        <v>44447006</v>
      </c>
      <c r="F19" s="282">
        <f>'7.Táj.adatok műk.'!H14</f>
        <v>0.93879416450171504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x14ac:dyDescent="0.25">
      <c r="A20" s="4" t="s">
        <v>24</v>
      </c>
      <c r="B20" s="4" t="s">
        <v>25</v>
      </c>
      <c r="C20" s="12">
        <f>'7.Táj.adatok műk.'!E15</f>
        <v>7279720.2599999998</v>
      </c>
      <c r="D20" s="12">
        <f>'7.Táj.adatok műk.'!F15</f>
        <v>8037887.4000000004</v>
      </c>
      <c r="E20" s="12">
        <f>'7.Táj.adatok műk.'!G15</f>
        <v>7765883</v>
      </c>
      <c r="F20" s="282">
        <f>'7.Táj.adatok műk.'!H15</f>
        <v>0.96615971505149467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x14ac:dyDescent="0.25">
      <c r="A21" s="4" t="s">
        <v>26</v>
      </c>
      <c r="B21" s="11" t="s">
        <v>27</v>
      </c>
      <c r="C21" s="12">
        <f>'7.Táj.adatok műk.'!E16</f>
        <v>33826523</v>
      </c>
      <c r="D21" s="12">
        <f>'7.Táj.adatok műk.'!F16</f>
        <v>37369901</v>
      </c>
      <c r="E21" s="12">
        <f>'7.Táj.adatok műk.'!G16</f>
        <v>32365686</v>
      </c>
      <c r="F21" s="282">
        <f>'7.Táj.adatok műk.'!H16</f>
        <v>0.86608969073800868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x14ac:dyDescent="0.25">
      <c r="A22" s="4" t="s">
        <v>28</v>
      </c>
      <c r="B22" s="20" t="s">
        <v>29</v>
      </c>
      <c r="C22" s="12">
        <f>'7.Táj.adatok műk.'!E17</f>
        <v>2915000</v>
      </c>
      <c r="D22" s="12">
        <f>'7.Táj.adatok műk.'!F17</f>
        <v>3313067</v>
      </c>
      <c r="E22" s="12">
        <f>'7.Táj.adatok műk.'!G17</f>
        <v>2743067</v>
      </c>
      <c r="F22" s="282">
        <f>'7.Táj.adatok műk.'!H17</f>
        <v>0.82795397738711596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x14ac:dyDescent="0.25">
      <c r="A23" s="4" t="s">
        <v>30</v>
      </c>
      <c r="B23" s="20" t="s">
        <v>31</v>
      </c>
      <c r="C23" s="12">
        <f>'7.Táj.adatok műk.'!E18</f>
        <v>18760963</v>
      </c>
      <c r="D23" s="12">
        <f>'7.Táj.adatok műk.'!F18</f>
        <v>22279438</v>
      </c>
      <c r="E23" s="12">
        <f>'7.Táj.adatok műk.'!G18</f>
        <v>6717916</v>
      </c>
      <c r="F23" s="282">
        <f>'7.Táj.adatok műk.'!H18</f>
        <v>0.30152986803347553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9" customFormat="1" ht="28.5" customHeight="1" x14ac:dyDescent="0.25">
      <c r="A24" s="9"/>
      <c r="B24" s="9" t="s">
        <v>32</v>
      </c>
      <c r="C24" s="10">
        <f>SUM(C25:C26)</f>
        <v>3662050</v>
      </c>
      <c r="D24" s="10">
        <f>SUM(D25:D26)</f>
        <v>17698174.359999999</v>
      </c>
      <c r="E24" s="10">
        <f>SUM(E25:E26)</f>
        <v>7341406</v>
      </c>
      <c r="F24" s="267">
        <f>SUM(F25:F26)</f>
        <v>0.89345848286950014</v>
      </c>
    </row>
    <row r="25" spans="1:256" ht="17.25" customHeight="1" x14ac:dyDescent="0.25">
      <c r="A25" s="4" t="s">
        <v>33</v>
      </c>
      <c r="B25" s="4" t="s">
        <v>34</v>
      </c>
      <c r="C25" s="12">
        <f>'8.Táj.adatok felh.'!E13</f>
        <v>2662050</v>
      </c>
      <c r="D25" s="12">
        <f>'8.Táj.adatok felh.'!F13</f>
        <v>6033455.5</v>
      </c>
      <c r="E25" s="12">
        <f>'8.Táj.adatok felh.'!G13</f>
        <v>3748406</v>
      </c>
      <c r="F25" s="282">
        <f>'8.Táj.adatok felh.'!H13</f>
        <v>0.62127018256785016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x14ac:dyDescent="0.25">
      <c r="A26" s="4" t="s">
        <v>35</v>
      </c>
      <c r="B26" s="20" t="s">
        <v>36</v>
      </c>
      <c r="C26" s="12">
        <f>'8.Táj.adatok felh.'!E14</f>
        <v>1000000</v>
      </c>
      <c r="D26" s="12">
        <f>'8.Táj.adatok felh.'!F14</f>
        <v>11664718.859999999</v>
      </c>
      <c r="E26" s="12">
        <f>'8.Táj.adatok felh.'!G14</f>
        <v>3593000</v>
      </c>
      <c r="F26" s="282">
        <f>'8.Táj.adatok felh.'!H14</f>
        <v>0.27218830030164998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9" customFormat="1" ht="27.75" customHeight="1" x14ac:dyDescent="0.25">
      <c r="A27" s="9" t="s">
        <v>37</v>
      </c>
      <c r="B27" s="22" t="s">
        <v>38</v>
      </c>
      <c r="C27" s="10">
        <f>'7.Táj.adatok műk.'!E19</f>
        <v>4834134</v>
      </c>
      <c r="D27" s="10">
        <f>'7.Táj.adatok műk.'!F19</f>
        <v>4708324</v>
      </c>
      <c r="E27" s="10">
        <f>'7.Táj.adatok műk.'!G19</f>
        <v>3593096</v>
      </c>
      <c r="F27" s="267">
        <f>'7.Táj.adatok műk.'!H19</f>
        <v>0.76313694639536278</v>
      </c>
    </row>
    <row r="28" spans="1:256" s="19" customFormat="1" ht="28.5" customHeight="1" x14ac:dyDescent="0.25">
      <c r="A28" s="23"/>
      <c r="B28" s="24" t="s">
        <v>39</v>
      </c>
      <c r="C28" s="25">
        <f>SUM(C18+C24+C27)</f>
        <v>111126778.25999999</v>
      </c>
      <c r="D28" s="25">
        <f>SUM(D18+D24+D27)</f>
        <v>140751574.75999999</v>
      </c>
      <c r="E28" s="25">
        <f>SUM(E18+E24+E27)</f>
        <v>104974060</v>
      </c>
      <c r="F28" s="348">
        <f>E28/D28</f>
        <v>0.74581090960434815</v>
      </c>
    </row>
    <row r="29" spans="1:256" x14ac:dyDescent="0.2">
      <c r="A29"/>
      <c r="B29"/>
      <c r="C29"/>
      <c r="D29" s="26"/>
      <c r="E29" s="2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D30" s="234"/>
    </row>
  </sheetData>
  <sheetProtection selectLockedCells="1" selectUnlockedCells="1"/>
  <mergeCells count="5">
    <mergeCell ref="A2:D2"/>
    <mergeCell ref="A7:B8"/>
    <mergeCell ref="A1:F1"/>
    <mergeCell ref="A4:F4"/>
    <mergeCell ref="A5:F5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view="pageBreakPreview" zoomScale="120" zoomScaleNormal="120" zoomScaleSheetLayoutView="120" workbookViewId="0">
      <selection activeCell="B10" sqref="B10"/>
    </sheetView>
  </sheetViews>
  <sheetFormatPr defaultColWidth="9.140625" defaultRowHeight="12.75" x14ac:dyDescent="0.2"/>
  <cols>
    <col min="1" max="1" width="62.5703125" style="167" customWidth="1"/>
    <col min="2" max="2" width="20.28515625" style="167" customWidth="1"/>
    <col min="3" max="3" width="20.42578125" style="167" customWidth="1"/>
    <col min="4" max="4" width="14.85546875" style="167" customWidth="1"/>
    <col min="5" max="5" width="15.28515625" style="167" customWidth="1"/>
    <col min="6" max="16384" width="9.140625" style="167"/>
  </cols>
  <sheetData>
    <row r="1" spans="1:5" ht="15.75" x14ac:dyDescent="0.25">
      <c r="A1" s="420" t="s">
        <v>623</v>
      </c>
      <c r="B1" s="420"/>
      <c r="C1" s="420"/>
      <c r="D1" s="394"/>
      <c r="E1" s="394"/>
    </row>
    <row r="2" spans="1:5" ht="15.75" x14ac:dyDescent="0.25">
      <c r="A2" s="420"/>
      <c r="B2" s="420"/>
      <c r="C2" s="420"/>
    </row>
    <row r="3" spans="1:5" ht="15.75" x14ac:dyDescent="0.25">
      <c r="A3" s="168"/>
      <c r="B3" s="168"/>
      <c r="C3" s="97"/>
    </row>
    <row r="4" spans="1:5" s="169" customFormat="1" ht="21" customHeight="1" x14ac:dyDescent="0.25">
      <c r="A4" s="422" t="s">
        <v>0</v>
      </c>
      <c r="B4" s="422"/>
      <c r="C4" s="422"/>
      <c r="D4" s="394"/>
      <c r="E4" s="394"/>
    </row>
    <row r="5" spans="1:5" s="169" customFormat="1" ht="23.25" customHeight="1" x14ac:dyDescent="0.25">
      <c r="A5" s="422" t="s">
        <v>308</v>
      </c>
      <c r="B5" s="422"/>
      <c r="C5" s="422"/>
      <c r="D5" s="394"/>
      <c r="E5" s="394"/>
    </row>
    <row r="6" spans="1:5" s="169" customFormat="1" ht="23.25" customHeight="1" x14ac:dyDescent="0.25">
      <c r="A6" s="170"/>
      <c r="B6" s="170"/>
      <c r="C6" s="170"/>
    </row>
    <row r="7" spans="1:5" s="169" customFormat="1" ht="44.45" customHeight="1" x14ac:dyDescent="0.25">
      <c r="A7" s="421" t="s">
        <v>280</v>
      </c>
      <c r="B7" s="171" t="s">
        <v>42</v>
      </c>
      <c r="C7" s="171" t="s">
        <v>42</v>
      </c>
      <c r="D7" s="320" t="s">
        <v>365</v>
      </c>
      <c r="E7" s="320" t="s">
        <v>364</v>
      </c>
    </row>
    <row r="8" spans="1:5" s="169" customFormat="1" ht="43.9" customHeight="1" x14ac:dyDescent="0.25">
      <c r="A8" s="421"/>
      <c r="B8" s="172" t="s">
        <v>4</v>
      </c>
      <c r="C8" s="172" t="s">
        <v>5</v>
      </c>
      <c r="D8" s="242" t="s">
        <v>353</v>
      </c>
      <c r="E8" s="242" t="s">
        <v>352</v>
      </c>
    </row>
    <row r="9" spans="1:5" s="169" customFormat="1" ht="23.25" customHeight="1" x14ac:dyDescent="0.25">
      <c r="A9" s="173" t="s">
        <v>226</v>
      </c>
      <c r="B9" s="174">
        <f>SUM(B10)</f>
        <v>1000000</v>
      </c>
      <c r="C9" s="262">
        <f>SUM(C10)</f>
        <v>3175000</v>
      </c>
      <c r="D9" s="262">
        <f>SUM(D10)</f>
        <v>3175000</v>
      </c>
      <c r="E9" s="370">
        <f>D9/C9</f>
        <v>1</v>
      </c>
    </row>
    <row r="10" spans="1:5" s="178" customFormat="1" ht="23.25" customHeight="1" x14ac:dyDescent="0.25">
      <c r="A10" s="175" t="s">
        <v>309</v>
      </c>
      <c r="B10" s="177">
        <v>1000000</v>
      </c>
      <c r="C10" s="326">
        <v>3175000</v>
      </c>
      <c r="D10" s="326">
        <v>3175000</v>
      </c>
      <c r="E10" s="339">
        <f t="shared" ref="E10:E17" si="0">D10/C10</f>
        <v>1</v>
      </c>
    </row>
    <row r="11" spans="1:5" s="178" customFormat="1" ht="23.25" customHeight="1" x14ac:dyDescent="0.25">
      <c r="A11" s="173" t="s">
        <v>238</v>
      </c>
      <c r="B11" s="174">
        <f>SUM(B12)</f>
        <v>400000</v>
      </c>
      <c r="C11" s="262">
        <f>SUM(C12)</f>
        <v>400000</v>
      </c>
      <c r="D11" s="338">
        <v>0</v>
      </c>
      <c r="E11" s="370">
        <f t="shared" si="0"/>
        <v>0</v>
      </c>
    </row>
    <row r="12" spans="1:5" s="178" customFormat="1" ht="23.25" customHeight="1" x14ac:dyDescent="0.25">
      <c r="A12" s="175" t="s">
        <v>310</v>
      </c>
      <c r="B12" s="177">
        <v>400000</v>
      </c>
      <c r="C12" s="326">
        <v>400000</v>
      </c>
      <c r="D12" s="338">
        <v>0</v>
      </c>
      <c r="E12" s="339">
        <f t="shared" si="0"/>
        <v>0</v>
      </c>
    </row>
    <row r="13" spans="1:5" s="178" customFormat="1" ht="23.25" customHeight="1" x14ac:dyDescent="0.25">
      <c r="A13" s="173" t="s">
        <v>311</v>
      </c>
      <c r="B13" s="174">
        <f>B14+B16</f>
        <v>2135000</v>
      </c>
      <c r="C13" s="262">
        <f>C14+C16</f>
        <v>3810000</v>
      </c>
      <c r="D13" s="262">
        <f>SUM(D14:D16)</f>
        <v>3748406</v>
      </c>
      <c r="E13" s="370">
        <f t="shared" si="0"/>
        <v>0.98383359580052498</v>
      </c>
    </row>
    <row r="14" spans="1:5" s="178" customFormat="1" ht="23.25" customHeight="1" x14ac:dyDescent="0.25">
      <c r="A14" s="175" t="s">
        <v>312</v>
      </c>
      <c r="B14" s="177">
        <v>1500000</v>
      </c>
      <c r="C14" s="326">
        <v>3175000</v>
      </c>
      <c r="D14" s="326">
        <v>3175000</v>
      </c>
      <c r="E14" s="339">
        <f t="shared" si="0"/>
        <v>1</v>
      </c>
    </row>
    <row r="15" spans="1:5" s="178" customFormat="1" ht="23.25" customHeight="1" x14ac:dyDescent="0.25">
      <c r="A15" s="179" t="s">
        <v>313</v>
      </c>
      <c r="B15" s="334">
        <v>0</v>
      </c>
      <c r="C15" s="335">
        <v>254406</v>
      </c>
      <c r="D15" s="335">
        <v>254406</v>
      </c>
      <c r="E15" s="339">
        <f t="shared" si="0"/>
        <v>1</v>
      </c>
    </row>
    <row r="16" spans="1:5" s="178" customFormat="1" ht="23.25" customHeight="1" thickBot="1" x14ac:dyDescent="0.3">
      <c r="A16" s="180" t="s">
        <v>314</v>
      </c>
      <c r="B16" s="336">
        <v>635000</v>
      </c>
      <c r="C16" s="337">
        <v>635000</v>
      </c>
      <c r="D16" s="337">
        <v>319000</v>
      </c>
      <c r="E16" s="340">
        <f t="shared" si="0"/>
        <v>0.5023622047244094</v>
      </c>
    </row>
    <row r="17" spans="1:5" s="183" customFormat="1" ht="26.25" customHeight="1" x14ac:dyDescent="0.25">
      <c r="A17" s="181" t="s">
        <v>315</v>
      </c>
      <c r="B17" s="182">
        <f>SUM(B9,B11,B13)</f>
        <v>3535000</v>
      </c>
      <c r="C17" s="327">
        <f>SUM(C9,C11,C13)</f>
        <v>7385000</v>
      </c>
      <c r="D17" s="327">
        <f>SUM(D9,D11,D13)</f>
        <v>6923406</v>
      </c>
      <c r="E17" s="369">
        <f t="shared" si="0"/>
        <v>0.9374957345971564</v>
      </c>
    </row>
  </sheetData>
  <sheetProtection selectLockedCells="1" selectUnlockedCells="1"/>
  <mergeCells count="5">
    <mergeCell ref="A2:C2"/>
    <mergeCell ref="A7:A8"/>
    <mergeCell ref="A1:E1"/>
    <mergeCell ref="A4:E4"/>
    <mergeCell ref="A5:E5"/>
  </mergeCells>
  <printOptions headings="1" gridLines="1"/>
  <pageMargins left="0.75" right="0.75" top="1" bottom="1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1"/>
  <sheetViews>
    <sheetView view="pageBreakPreview" zoomScale="120" zoomScaleNormal="120" zoomScaleSheetLayoutView="120" workbookViewId="0">
      <selection sqref="A1:I1"/>
    </sheetView>
  </sheetViews>
  <sheetFormatPr defaultColWidth="9.140625" defaultRowHeight="15.75" x14ac:dyDescent="0.25"/>
  <cols>
    <col min="1" max="1" width="4" style="4" customWidth="1"/>
    <col min="2" max="2" width="5.140625" style="4" customWidth="1"/>
    <col min="3" max="3" width="6.42578125" style="4" customWidth="1"/>
    <col min="4" max="4" width="2.5703125" style="4" customWidth="1"/>
    <col min="5" max="5" width="62.140625" style="4" customWidth="1"/>
    <col min="6" max="7" width="17.85546875" style="4" customWidth="1"/>
    <col min="8" max="8" width="16.7109375" style="184" customWidth="1"/>
    <col min="9" max="9" width="16.85546875" style="248" customWidth="1"/>
    <col min="10" max="10" width="12" style="4" customWidth="1"/>
    <col min="11" max="11" width="9.140625" style="31" customWidth="1"/>
    <col min="12" max="16384" width="9.140625" style="4"/>
  </cols>
  <sheetData>
    <row r="1" spans="1:12" x14ac:dyDescent="0.25">
      <c r="A1" s="399" t="s">
        <v>358</v>
      </c>
      <c r="B1" s="399"/>
      <c r="C1" s="399"/>
      <c r="D1" s="399"/>
      <c r="E1" s="399"/>
      <c r="F1" s="399"/>
      <c r="G1" s="399"/>
      <c r="H1" s="394"/>
      <c r="I1" s="394"/>
    </row>
    <row r="2" spans="1:12" s="27" customFormat="1" ht="16.5" customHeight="1" x14ac:dyDescent="0.25">
      <c r="A2" s="399"/>
      <c r="B2" s="399"/>
      <c r="C2" s="399"/>
      <c r="D2" s="399"/>
      <c r="E2" s="399"/>
      <c r="F2" s="399"/>
      <c r="G2" s="399"/>
      <c r="H2" s="185"/>
      <c r="I2" s="249"/>
    </row>
    <row r="3" spans="1:12" s="27" customFormat="1" ht="16.5" customHeight="1" x14ac:dyDescent="0.25">
      <c r="A3" s="28"/>
      <c r="B3" s="28"/>
      <c r="C3" s="28"/>
      <c r="D3" s="28"/>
      <c r="E3" s="28"/>
      <c r="F3" s="29"/>
      <c r="G3" s="29"/>
      <c r="H3" s="185"/>
      <c r="I3" s="249"/>
    </row>
    <row r="4" spans="1:12" ht="24.75" customHeight="1" x14ac:dyDescent="0.25">
      <c r="A4" s="395" t="s">
        <v>316</v>
      </c>
      <c r="B4" s="395"/>
      <c r="C4" s="395"/>
      <c r="D4" s="395"/>
      <c r="E4" s="395"/>
      <c r="F4" s="395"/>
      <c r="G4" s="395"/>
      <c r="H4" s="394"/>
      <c r="I4" s="394"/>
      <c r="K4" s="4"/>
    </row>
    <row r="5" spans="1:12" ht="24.75" customHeight="1" x14ac:dyDescent="0.25">
      <c r="A5" s="395" t="s">
        <v>317</v>
      </c>
      <c r="B5" s="395"/>
      <c r="C5" s="395"/>
      <c r="D5" s="395"/>
      <c r="E5" s="395"/>
      <c r="F5" s="395"/>
      <c r="G5" s="395"/>
      <c r="H5" s="394"/>
      <c r="I5" s="394"/>
      <c r="K5" s="4"/>
    </row>
    <row r="6" spans="1:12" s="7" customFormat="1" ht="24" customHeight="1" x14ac:dyDescent="0.25">
      <c r="A6" s="6"/>
      <c r="B6" s="6"/>
      <c r="C6" s="6"/>
      <c r="D6" s="6"/>
      <c r="E6" s="6"/>
      <c r="F6" s="99"/>
      <c r="G6" s="99"/>
      <c r="H6" s="186"/>
      <c r="I6" s="250"/>
    </row>
    <row r="7" spans="1:12" ht="42" customHeight="1" x14ac:dyDescent="0.25">
      <c r="A7" s="396" t="s">
        <v>41</v>
      </c>
      <c r="B7" s="396"/>
      <c r="C7" s="396"/>
      <c r="D7" s="396"/>
      <c r="E7" s="396"/>
      <c r="F7" s="33" t="s">
        <v>42</v>
      </c>
      <c r="G7" s="33" t="s">
        <v>42</v>
      </c>
      <c r="H7" s="241" t="s">
        <v>350</v>
      </c>
      <c r="I7" s="251" t="s">
        <v>351</v>
      </c>
      <c r="K7" s="4"/>
    </row>
    <row r="8" spans="1:12" s="9" customFormat="1" ht="24" customHeight="1" x14ac:dyDescent="0.25">
      <c r="A8" s="396"/>
      <c r="B8" s="396"/>
      <c r="C8" s="396"/>
      <c r="D8" s="396"/>
      <c r="E8" s="396"/>
      <c r="F8" s="33" t="s">
        <v>4</v>
      </c>
      <c r="G8" s="33" t="s">
        <v>5</v>
      </c>
      <c r="H8" s="242" t="s">
        <v>353</v>
      </c>
      <c r="I8" s="251" t="s">
        <v>352</v>
      </c>
    </row>
    <row r="9" spans="1:12" s="187" customFormat="1" ht="25.9" customHeight="1" x14ac:dyDescent="0.25">
      <c r="A9" s="424" t="s">
        <v>318</v>
      </c>
      <c r="B9" s="424"/>
      <c r="C9" s="424"/>
      <c r="D9" s="424"/>
      <c r="E9" s="424"/>
      <c r="F9" s="123">
        <f>SUM(F10,F14,F20)</f>
        <v>48502967</v>
      </c>
      <c r="G9" s="123">
        <f>SUM(G10,G14,G20)</f>
        <v>25663495</v>
      </c>
      <c r="H9" s="123">
        <f>SUM(H10,H14,H20)</f>
        <v>25653442</v>
      </c>
      <c r="I9" s="252">
        <f>H9/G9</f>
        <v>0.99960827626946369</v>
      </c>
    </row>
    <row r="10" spans="1:12" s="187" customFormat="1" ht="26.25" customHeight="1" x14ac:dyDescent="0.25">
      <c r="A10" s="13" t="s">
        <v>7</v>
      </c>
      <c r="B10" s="9" t="s">
        <v>8</v>
      </c>
      <c r="C10" s="9"/>
      <c r="D10" s="188"/>
      <c r="E10" s="105"/>
      <c r="F10" s="103">
        <f>SUM(F11)</f>
        <v>0</v>
      </c>
      <c r="G10" s="103">
        <f>SUM(G11)</f>
        <v>1122596</v>
      </c>
      <c r="H10" s="103">
        <f>SUM(H11)</f>
        <v>1122596</v>
      </c>
      <c r="I10" s="246">
        <f>H10/G10</f>
        <v>1</v>
      </c>
    </row>
    <row r="11" spans="1:12" s="9" customFormat="1" x14ac:dyDescent="0.25">
      <c r="A11" s="13"/>
      <c r="B11" s="11" t="s">
        <v>108</v>
      </c>
      <c r="C11" s="4" t="s">
        <v>109</v>
      </c>
      <c r="E11" s="107"/>
      <c r="F11" s="105">
        <v>0</v>
      </c>
      <c r="G11" s="105">
        <f>G12</f>
        <v>1122596</v>
      </c>
      <c r="H11" s="105">
        <f>H12</f>
        <v>1122596</v>
      </c>
      <c r="I11" s="246">
        <f t="shared" ref="I11:I18" si="0">H11/G11</f>
        <v>1</v>
      </c>
      <c r="J11" s="42"/>
      <c r="K11" s="43"/>
    </row>
    <row r="12" spans="1:12" s="9" customFormat="1" x14ac:dyDescent="0.25">
      <c r="A12" s="13"/>
      <c r="B12" s="11"/>
      <c r="C12" s="4" t="s">
        <v>319</v>
      </c>
      <c r="D12" s="4" t="s">
        <v>320</v>
      </c>
      <c r="E12" s="107"/>
      <c r="F12" s="189"/>
      <c r="G12" s="189">
        <v>1122596</v>
      </c>
      <c r="H12" s="189">
        <v>1122596</v>
      </c>
      <c r="I12" s="246">
        <f t="shared" si="0"/>
        <v>1</v>
      </c>
      <c r="J12" s="42"/>
      <c r="K12" s="43"/>
    </row>
    <row r="13" spans="1:12" s="9" customFormat="1" x14ac:dyDescent="0.25">
      <c r="A13" s="13"/>
      <c r="B13" s="11" t="s">
        <v>108</v>
      </c>
      <c r="C13" s="4" t="s">
        <v>321</v>
      </c>
      <c r="E13" s="107"/>
      <c r="F13" s="46">
        <v>0</v>
      </c>
      <c r="G13" s="46">
        <v>0</v>
      </c>
      <c r="H13" s="46">
        <v>0</v>
      </c>
      <c r="I13" s="246"/>
      <c r="J13" s="42"/>
      <c r="K13" s="43"/>
    </row>
    <row r="14" spans="1:12" x14ac:dyDescent="0.25">
      <c r="A14" s="9" t="s">
        <v>11</v>
      </c>
      <c r="B14" s="9" t="s">
        <v>12</v>
      </c>
      <c r="C14" s="9"/>
      <c r="D14" s="9"/>
      <c r="E14" s="107"/>
      <c r="F14" s="10">
        <f>SUM(F15:F19)</f>
        <v>24100100</v>
      </c>
      <c r="G14" s="10">
        <f>SUM(G15:G19)</f>
        <v>24540899</v>
      </c>
      <c r="H14" s="10">
        <f>SUM(H15:H19)</f>
        <v>24530846</v>
      </c>
      <c r="I14" s="246">
        <f t="shared" si="0"/>
        <v>0.99959035730516632</v>
      </c>
      <c r="J14" s="40"/>
      <c r="K14" s="40"/>
      <c r="L14" s="31"/>
    </row>
    <row r="15" spans="1:12" s="9" customFormat="1" x14ac:dyDescent="0.25">
      <c r="A15" s="4"/>
      <c r="B15" s="4"/>
      <c r="C15" s="4" t="s">
        <v>322</v>
      </c>
      <c r="D15" s="4" t="s">
        <v>323</v>
      </c>
      <c r="E15" s="109"/>
      <c r="F15" s="106">
        <v>24100000</v>
      </c>
      <c r="G15" s="106">
        <v>24330750</v>
      </c>
      <c r="H15" s="106">
        <v>24330795</v>
      </c>
      <c r="I15" s="246">
        <f t="shared" si="0"/>
        <v>1.0000018495114207</v>
      </c>
      <c r="J15" s="42"/>
      <c r="K15" s="43"/>
    </row>
    <row r="16" spans="1:12" s="9" customFormat="1" x14ac:dyDescent="0.25">
      <c r="A16" s="4"/>
      <c r="B16" s="4"/>
      <c r="C16" s="4" t="s">
        <v>44</v>
      </c>
      <c r="D16" s="4" t="s">
        <v>45</v>
      </c>
      <c r="E16" s="109"/>
      <c r="F16" s="106"/>
      <c r="G16" s="106">
        <v>10000</v>
      </c>
      <c r="H16" s="106">
        <v>0</v>
      </c>
      <c r="I16" s="246">
        <f t="shared" si="0"/>
        <v>0</v>
      </c>
      <c r="J16" s="42"/>
      <c r="K16" s="43"/>
    </row>
    <row r="17" spans="1:11" x14ac:dyDescent="0.25">
      <c r="C17" s="4" t="s">
        <v>48</v>
      </c>
      <c r="D17" s="4" t="s">
        <v>49</v>
      </c>
      <c r="E17" s="109"/>
      <c r="F17" s="106">
        <v>100</v>
      </c>
      <c r="G17" s="106">
        <v>100</v>
      </c>
      <c r="H17" s="106">
        <v>2</v>
      </c>
      <c r="I17" s="246">
        <f t="shared" si="0"/>
        <v>0.02</v>
      </c>
      <c r="J17" s="40"/>
    </row>
    <row r="18" spans="1:11" ht="17.45" customHeight="1" x14ac:dyDescent="0.25">
      <c r="C18" s="4" t="s">
        <v>124</v>
      </c>
      <c r="D18" s="4" t="s">
        <v>324</v>
      </c>
      <c r="E18" s="109"/>
      <c r="F18" s="106">
        <v>0</v>
      </c>
      <c r="G18" s="106">
        <v>200000</v>
      </c>
      <c r="H18" s="106">
        <v>200000</v>
      </c>
      <c r="I18" s="246">
        <f t="shared" si="0"/>
        <v>1</v>
      </c>
      <c r="J18" s="40"/>
    </row>
    <row r="19" spans="1:11" ht="17.45" customHeight="1" x14ac:dyDescent="0.25">
      <c r="C19" s="4" t="s">
        <v>50</v>
      </c>
      <c r="D19" s="4" t="s">
        <v>51</v>
      </c>
      <c r="E19" s="109"/>
      <c r="F19" s="106">
        <v>0</v>
      </c>
      <c r="G19" s="106">
        <v>49</v>
      </c>
      <c r="H19" s="106">
        <v>49</v>
      </c>
      <c r="I19" s="246">
        <f>H19/G19</f>
        <v>1</v>
      </c>
      <c r="J19" s="40"/>
    </row>
    <row r="20" spans="1:11" x14ac:dyDescent="0.25">
      <c r="A20" s="9" t="s">
        <v>18</v>
      </c>
      <c r="B20" s="9" t="s">
        <v>19</v>
      </c>
      <c r="C20" s="9"/>
      <c r="D20" s="9"/>
      <c r="E20" s="107"/>
      <c r="F20" s="10">
        <f>SUM(F21)</f>
        <v>24402867</v>
      </c>
      <c r="G20" s="10">
        <f>SUM(G21)</f>
        <v>0</v>
      </c>
      <c r="H20" s="10">
        <f>SUM(H21)</f>
        <v>0</v>
      </c>
      <c r="I20" s="246" t="s">
        <v>363</v>
      </c>
      <c r="J20" s="40"/>
    </row>
    <row r="21" spans="1:11" x14ac:dyDescent="0.25">
      <c r="B21" s="4" t="s">
        <v>55</v>
      </c>
      <c r="D21" s="4" t="s">
        <v>56</v>
      </c>
      <c r="E21" s="109"/>
      <c r="F21" s="12">
        <f>SUM(F24+F22)</f>
        <v>24402867</v>
      </c>
      <c r="G21" s="12">
        <f>SUM(G24+G22)</f>
        <v>0</v>
      </c>
      <c r="H21" s="12">
        <f>SUM(H24+H22)</f>
        <v>0</v>
      </c>
      <c r="I21" s="246" t="s">
        <v>363</v>
      </c>
      <c r="J21" s="40"/>
    </row>
    <row r="22" spans="1:11" x14ac:dyDescent="0.25">
      <c r="C22" s="4" t="s">
        <v>57</v>
      </c>
      <c r="D22" s="4" t="s">
        <v>58</v>
      </c>
      <c r="E22" s="109"/>
      <c r="F22" s="106">
        <f>F23</f>
        <v>712063</v>
      </c>
      <c r="G22" s="106">
        <v>0</v>
      </c>
      <c r="H22" s="106">
        <v>0</v>
      </c>
      <c r="I22" s="246" t="s">
        <v>363</v>
      </c>
      <c r="J22" s="40"/>
    </row>
    <row r="23" spans="1:11" s="187" customFormat="1" ht="26.25" customHeight="1" x14ac:dyDescent="0.25">
      <c r="A23" s="4"/>
      <c r="B23" s="4"/>
      <c r="C23" s="4" t="s">
        <v>59</v>
      </c>
      <c r="D23" s="4"/>
      <c r="E23" s="109" t="s">
        <v>60</v>
      </c>
      <c r="F23" s="106">
        <v>712063</v>
      </c>
      <c r="G23" s="106">
        <v>0</v>
      </c>
      <c r="H23" s="106">
        <v>0</v>
      </c>
      <c r="I23" s="246" t="s">
        <v>363</v>
      </c>
    </row>
    <row r="24" spans="1:11" s="9" customFormat="1" x14ac:dyDescent="0.25">
      <c r="A24" s="4"/>
      <c r="B24" s="4"/>
      <c r="C24" s="4" t="s">
        <v>325</v>
      </c>
      <c r="D24" s="4" t="s">
        <v>326</v>
      </c>
      <c r="E24" s="109"/>
      <c r="F24" s="190">
        <f>20327000+3363804</f>
        <v>23690804</v>
      </c>
      <c r="G24" s="190">
        <v>0</v>
      </c>
      <c r="H24" s="190">
        <v>0</v>
      </c>
      <c r="I24" s="246" t="s">
        <v>363</v>
      </c>
    </row>
    <row r="25" spans="1:11" ht="27" customHeight="1" x14ac:dyDescent="0.25">
      <c r="A25" s="423" t="s">
        <v>327</v>
      </c>
      <c r="B25" s="423"/>
      <c r="C25" s="423"/>
      <c r="D25" s="423"/>
      <c r="E25" s="423"/>
      <c r="F25" s="118">
        <v>1036000</v>
      </c>
      <c r="G25" s="118">
        <f>G26</f>
        <v>1134919</v>
      </c>
      <c r="H25" s="118">
        <f>H26</f>
        <v>1134919</v>
      </c>
      <c r="I25" s="247">
        <f>H25/G25</f>
        <v>1</v>
      </c>
      <c r="K25" s="4"/>
    </row>
    <row r="26" spans="1:11" s="9" customFormat="1" ht="21.6" customHeight="1" x14ac:dyDescent="0.25">
      <c r="A26" s="13" t="s">
        <v>7</v>
      </c>
      <c r="B26" s="9" t="s">
        <v>8</v>
      </c>
      <c r="D26" s="188"/>
      <c r="E26" s="105"/>
      <c r="F26" s="103">
        <f>SUM(F27)</f>
        <v>1036000</v>
      </c>
      <c r="G26" s="103">
        <f>SUM(G27)</f>
        <v>1134919</v>
      </c>
      <c r="H26" s="103">
        <f>SUM(H27)</f>
        <v>1134919</v>
      </c>
      <c r="I26" s="246">
        <f>H26/G26</f>
        <v>1</v>
      </c>
      <c r="K26" s="43"/>
    </row>
    <row r="27" spans="1:11" x14ac:dyDescent="0.25">
      <c r="A27" s="13"/>
      <c r="B27" s="11" t="s">
        <v>108</v>
      </c>
      <c r="C27" s="4" t="s">
        <v>109</v>
      </c>
      <c r="D27" s="9"/>
      <c r="E27" s="107"/>
      <c r="F27" s="106">
        <v>1036000</v>
      </c>
      <c r="G27" s="106">
        <v>1134919</v>
      </c>
      <c r="H27" s="106">
        <v>1134919</v>
      </c>
      <c r="I27" s="246">
        <f>H27/G27</f>
        <v>1</v>
      </c>
    </row>
    <row r="28" spans="1:11" ht="30" customHeight="1" x14ac:dyDescent="0.25">
      <c r="A28" s="397" t="s">
        <v>54</v>
      </c>
      <c r="B28" s="397"/>
      <c r="C28" s="397"/>
      <c r="D28" s="397"/>
      <c r="E28" s="397"/>
      <c r="F28" s="39">
        <f>SUM(F29)</f>
        <v>24402867</v>
      </c>
      <c r="G28" s="39">
        <f>SUM(G29)</f>
        <v>32749546</v>
      </c>
      <c r="H28" s="39">
        <f>SUM(H29)</f>
        <v>32749546</v>
      </c>
      <c r="I28" s="253">
        <f>SUM(I29)</f>
        <v>1</v>
      </c>
    </row>
    <row r="29" spans="1:11" x14ac:dyDescent="0.25">
      <c r="A29" s="9" t="s">
        <v>18</v>
      </c>
      <c r="B29" s="9" t="s">
        <v>19</v>
      </c>
      <c r="C29" s="9"/>
      <c r="D29" s="9"/>
      <c r="E29" s="107"/>
      <c r="F29" s="10">
        <f>SUM(F30)</f>
        <v>24402867</v>
      </c>
      <c r="G29" s="10">
        <f>SUM(G30)</f>
        <v>32749546</v>
      </c>
      <c r="H29" s="10">
        <f>SUM(H30)</f>
        <v>32749546</v>
      </c>
      <c r="I29" s="281">
        <f t="shared" ref="I29:I30" si="1">I30</f>
        <v>1</v>
      </c>
    </row>
    <row r="30" spans="1:11" ht="25.9" customHeight="1" x14ac:dyDescent="0.25">
      <c r="B30" s="4" t="s">
        <v>55</v>
      </c>
      <c r="D30" s="4" t="s">
        <v>56</v>
      </c>
      <c r="E30" s="109"/>
      <c r="F30" s="12">
        <f>SUM(F33+F31)</f>
        <v>24402867</v>
      </c>
      <c r="G30" s="12">
        <f>SUM(G33+G31)</f>
        <v>32749546</v>
      </c>
      <c r="H30" s="12">
        <f>SUM(H33+H31)</f>
        <v>32749546</v>
      </c>
      <c r="I30" s="281">
        <f t="shared" si="1"/>
        <v>1</v>
      </c>
    </row>
    <row r="31" spans="1:11" s="55" customFormat="1" x14ac:dyDescent="0.25">
      <c r="A31" s="4"/>
      <c r="B31" s="4"/>
      <c r="C31" s="4" t="s">
        <v>57</v>
      </c>
      <c r="D31" s="4" t="s">
        <v>58</v>
      </c>
      <c r="E31" s="109"/>
      <c r="F31" s="106">
        <f>F32</f>
        <v>712063</v>
      </c>
      <c r="G31" s="106">
        <f>G32</f>
        <v>712063</v>
      </c>
      <c r="H31" s="106">
        <f>H32</f>
        <v>712063</v>
      </c>
      <c r="I31" s="281">
        <f>I32</f>
        <v>1</v>
      </c>
      <c r="J31" s="56"/>
    </row>
    <row r="32" spans="1:11" s="55" customFormat="1" x14ac:dyDescent="0.25">
      <c r="A32" s="4"/>
      <c r="B32" s="4"/>
      <c r="C32" s="4" t="s">
        <v>59</v>
      </c>
      <c r="D32" s="4"/>
      <c r="E32" s="109" t="s">
        <v>60</v>
      </c>
      <c r="F32" s="106">
        <v>712063</v>
      </c>
      <c r="G32" s="106">
        <v>712063</v>
      </c>
      <c r="H32" s="106">
        <v>712063</v>
      </c>
      <c r="I32" s="281">
        <f>H32/G32</f>
        <v>1</v>
      </c>
      <c r="J32" s="56"/>
    </row>
    <row r="33" spans="1:11" s="55" customFormat="1" x14ac:dyDescent="0.25">
      <c r="A33" s="4"/>
      <c r="B33" s="4"/>
      <c r="C33" s="4" t="s">
        <v>325</v>
      </c>
      <c r="D33" s="4" t="s">
        <v>326</v>
      </c>
      <c r="E33" s="109"/>
      <c r="F33" s="190">
        <f>20327000+3363804</f>
        <v>23690804</v>
      </c>
      <c r="G33" s="190">
        <v>32037483</v>
      </c>
      <c r="H33" s="190">
        <v>32037483</v>
      </c>
      <c r="I33" s="281">
        <f>H33/G33</f>
        <v>1</v>
      </c>
      <c r="J33" s="56"/>
    </row>
    <row r="34" spans="1:11" x14ac:dyDescent="0.25">
      <c r="A34" s="65" t="s">
        <v>130</v>
      </c>
      <c r="B34" s="66"/>
      <c r="C34" s="66"/>
      <c r="D34" s="66"/>
      <c r="E34" s="191"/>
      <c r="F34" s="192">
        <f>SUM(F9+F25)</f>
        <v>49538967</v>
      </c>
      <c r="G34" s="80">
        <f>SUM(G9+G25+G28)</f>
        <v>59547960</v>
      </c>
      <c r="H34" s="80">
        <f>SUM(H9+H25+H28)</f>
        <v>59537907</v>
      </c>
      <c r="I34" s="254">
        <f>H34/G34</f>
        <v>0.9998311780957736</v>
      </c>
      <c r="K34" s="4"/>
    </row>
    <row r="35" spans="1:11" x14ac:dyDescent="0.25">
      <c r="A35" s="57" t="s">
        <v>7</v>
      </c>
      <c r="B35" s="58" t="s">
        <v>8</v>
      </c>
      <c r="C35" s="57"/>
      <c r="D35" s="59"/>
      <c r="E35" s="60"/>
      <c r="F35" s="61">
        <f>F10+F26</f>
        <v>1036000</v>
      </c>
      <c r="G35" s="61">
        <f>G10+G26</f>
        <v>2257515</v>
      </c>
      <c r="H35" s="61">
        <f>H10+H26</f>
        <v>2257515</v>
      </c>
      <c r="I35" s="255">
        <f>H35/G35</f>
        <v>1</v>
      </c>
      <c r="K35" s="4"/>
    </row>
    <row r="36" spans="1:11" x14ac:dyDescent="0.25">
      <c r="A36" s="58" t="s">
        <v>11</v>
      </c>
      <c r="B36" s="62" t="s">
        <v>12</v>
      </c>
      <c r="C36" s="62"/>
      <c r="D36" s="62"/>
      <c r="E36" s="62"/>
      <c r="F36" s="61">
        <f>F14</f>
        <v>24100100</v>
      </c>
      <c r="G36" s="61">
        <f>G14</f>
        <v>24540899</v>
      </c>
      <c r="H36" s="61">
        <f>H14</f>
        <v>24530846</v>
      </c>
      <c r="I36" s="255">
        <f t="shared" ref="I36:I37" si="2">H36/G36</f>
        <v>0.99959035730516632</v>
      </c>
      <c r="K36" s="4"/>
    </row>
    <row r="37" spans="1:11" x14ac:dyDescent="0.25">
      <c r="A37" s="58" t="s">
        <v>18</v>
      </c>
      <c r="B37" s="58" t="s">
        <v>19</v>
      </c>
      <c r="C37" s="58"/>
      <c r="D37" s="58"/>
      <c r="E37" s="57"/>
      <c r="F37" s="64">
        <f>F20</f>
        <v>24402867</v>
      </c>
      <c r="G37" s="64">
        <f>G29</f>
        <v>32749546</v>
      </c>
      <c r="H37" s="64">
        <f>H29</f>
        <v>32749546</v>
      </c>
      <c r="I37" s="255">
        <f t="shared" si="2"/>
        <v>1</v>
      </c>
      <c r="K37" s="4"/>
    </row>
    <row r="38" spans="1:11" x14ac:dyDescent="0.25">
      <c r="A38" s="65" t="s">
        <v>130</v>
      </c>
      <c r="B38" s="66"/>
      <c r="C38" s="66"/>
      <c r="D38" s="66"/>
      <c r="E38" s="66"/>
      <c r="F38" s="67">
        <f>SUM(F35:F37)</f>
        <v>49538967</v>
      </c>
      <c r="G38" s="67">
        <f>SUM(G35:G37)</f>
        <v>59547960</v>
      </c>
      <c r="H38" s="67">
        <f>SUM(H35:H37)</f>
        <v>59537907</v>
      </c>
      <c r="I38" s="256">
        <f>H38/G38</f>
        <v>0.9998311780957736</v>
      </c>
      <c r="K38" s="4"/>
    </row>
    <row r="40" spans="1:11" x14ac:dyDescent="0.25">
      <c r="E40" s="5"/>
      <c r="K40" s="4"/>
    </row>
    <row r="41" spans="1:11" x14ac:dyDescent="0.25">
      <c r="E41" s="5"/>
      <c r="K41" s="4"/>
    </row>
  </sheetData>
  <sheetProtection selectLockedCells="1" selectUnlockedCells="1"/>
  <mergeCells count="8">
    <mergeCell ref="A1:I1"/>
    <mergeCell ref="A25:E25"/>
    <mergeCell ref="A28:E28"/>
    <mergeCell ref="A2:G2"/>
    <mergeCell ref="A7:E8"/>
    <mergeCell ref="A9:E9"/>
    <mergeCell ref="A4:I4"/>
    <mergeCell ref="A5:I5"/>
  </mergeCells>
  <printOptions headings="1" gridLines="1"/>
  <pageMargins left="0.75" right="0.75" top="1" bottom="1" header="0.51180555555555551" footer="0.51180555555555551"/>
  <pageSetup paperSize="9" scale="56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8"/>
  <sheetViews>
    <sheetView view="pageBreakPreview" zoomScale="120" zoomScaleNormal="110" zoomScaleSheetLayoutView="120" workbookViewId="0">
      <selection activeCell="A5" sqref="A5:J5"/>
    </sheetView>
  </sheetViews>
  <sheetFormatPr defaultColWidth="9.140625" defaultRowHeight="12.75" x14ac:dyDescent="0.2"/>
  <cols>
    <col min="1" max="1" width="4.28515625" style="193" customWidth="1"/>
    <col min="2" max="2" width="5.42578125" style="193" customWidth="1"/>
    <col min="3" max="3" width="8.140625" style="193" customWidth="1"/>
    <col min="4" max="4" width="3.28515625" style="193" customWidth="1"/>
    <col min="5" max="5" width="52.42578125" style="193" customWidth="1"/>
    <col min="6" max="6" width="9.5703125" style="193" customWidth="1"/>
    <col min="7" max="8" width="16.5703125" style="27" customWidth="1"/>
    <col min="9" max="9" width="16.5703125" style="193" customWidth="1"/>
    <col min="10" max="10" width="14.7109375" style="193" customWidth="1"/>
    <col min="11" max="16384" width="9.140625" style="193"/>
  </cols>
  <sheetData>
    <row r="1" spans="1:10" ht="15.75" x14ac:dyDescent="0.25">
      <c r="A1" s="399" t="s">
        <v>624</v>
      </c>
      <c r="B1" s="399"/>
      <c r="C1" s="399"/>
      <c r="D1" s="399"/>
      <c r="E1" s="399"/>
      <c r="F1" s="399"/>
      <c r="G1" s="399"/>
      <c r="H1" s="399"/>
      <c r="I1" s="394"/>
      <c r="J1" s="394"/>
    </row>
    <row r="2" spans="1:10" s="27" customFormat="1" ht="16.5" customHeight="1" x14ac:dyDescent="0.25">
      <c r="A2" s="399"/>
      <c r="B2" s="399"/>
      <c r="C2" s="399"/>
      <c r="D2" s="399"/>
      <c r="E2" s="399"/>
      <c r="F2" s="399"/>
      <c r="G2" s="399"/>
      <c r="H2" s="399"/>
    </row>
    <row r="3" spans="1:10" s="27" customFormat="1" ht="16.5" customHeight="1" x14ac:dyDescent="0.25">
      <c r="A3" s="28"/>
      <c r="B3" s="28"/>
      <c r="C3" s="28"/>
      <c r="D3" s="28"/>
      <c r="E3" s="28"/>
      <c r="F3" s="28"/>
      <c r="G3" s="29"/>
      <c r="H3" s="30"/>
    </row>
    <row r="4" spans="1:10" s="194" customFormat="1" ht="26.25" customHeight="1" x14ac:dyDescent="0.2">
      <c r="A4" s="425" t="s">
        <v>316</v>
      </c>
      <c r="B4" s="425"/>
      <c r="C4" s="425"/>
      <c r="D4" s="425"/>
      <c r="E4" s="425"/>
      <c r="F4" s="425"/>
      <c r="G4" s="425"/>
      <c r="H4" s="425"/>
      <c r="I4" s="394"/>
      <c r="J4" s="394"/>
    </row>
    <row r="5" spans="1:10" s="187" customFormat="1" ht="27.75" customHeight="1" x14ac:dyDescent="0.25">
      <c r="A5" s="426" t="s">
        <v>328</v>
      </c>
      <c r="B5" s="426"/>
      <c r="C5" s="426"/>
      <c r="D5" s="426"/>
      <c r="E5" s="426"/>
      <c r="F5" s="426"/>
      <c r="G5" s="426"/>
      <c r="H5" s="426"/>
      <c r="I5" s="427"/>
      <c r="J5" s="427"/>
    </row>
    <row r="6" spans="1:10" s="187" customFormat="1" ht="39" customHeight="1" x14ac:dyDescent="0.25">
      <c r="A6" s="429" t="s">
        <v>41</v>
      </c>
      <c r="B6" s="429"/>
      <c r="C6" s="429"/>
      <c r="D6" s="429"/>
      <c r="E6" s="429"/>
      <c r="F6" s="430" t="s">
        <v>329</v>
      </c>
      <c r="G6" s="195" t="s">
        <v>42</v>
      </c>
      <c r="H6" s="196" t="s">
        <v>42</v>
      </c>
      <c r="I6" s="241" t="s">
        <v>350</v>
      </c>
      <c r="J6" s="242" t="s">
        <v>351</v>
      </c>
    </row>
    <row r="7" spans="1:10" s="187" customFormat="1" ht="33.75" customHeight="1" x14ac:dyDescent="0.25">
      <c r="A7" s="429"/>
      <c r="B7" s="429"/>
      <c r="C7" s="429"/>
      <c r="D7" s="429"/>
      <c r="E7" s="429"/>
      <c r="F7" s="430"/>
      <c r="G7" s="195" t="s">
        <v>4</v>
      </c>
      <c r="H7" s="196" t="s">
        <v>5</v>
      </c>
      <c r="I7" s="242" t="s">
        <v>353</v>
      </c>
      <c r="J7" s="242" t="s">
        <v>352</v>
      </c>
    </row>
    <row r="8" spans="1:10" s="187" customFormat="1" ht="26.25" customHeight="1" x14ac:dyDescent="0.25">
      <c r="A8" s="428" t="s">
        <v>318</v>
      </c>
      <c r="B8" s="428"/>
      <c r="C8" s="428"/>
      <c r="D8" s="428"/>
      <c r="E8" s="428"/>
      <c r="F8" s="197">
        <v>8</v>
      </c>
      <c r="G8" s="198">
        <f>SUM(G9+G19+G22+G42)</f>
        <v>48463966.780000001</v>
      </c>
      <c r="H8" s="199">
        <f>SUM(H9+H19+H22+H42)</f>
        <v>58343966</v>
      </c>
      <c r="I8" s="199">
        <f>SUM(I9+I19+I22+I42)</f>
        <v>56704331</v>
      </c>
      <c r="J8" s="257">
        <f>I8/H8</f>
        <v>0.97189709386571355</v>
      </c>
    </row>
    <row r="9" spans="1:10" s="9" customFormat="1" ht="15.75" x14ac:dyDescent="0.25">
      <c r="A9" s="9" t="s">
        <v>22</v>
      </c>
      <c r="B9" s="13" t="s">
        <v>150</v>
      </c>
      <c r="C9" s="13"/>
      <c r="D9" s="13"/>
      <c r="E9" s="102"/>
      <c r="F9" s="102"/>
      <c r="G9" s="78">
        <f>SUM(G10)</f>
        <v>25024804</v>
      </c>
      <c r="H9" s="129">
        <f>SUM(H10)</f>
        <v>30379281</v>
      </c>
      <c r="I9" s="129">
        <f>SUM(I10)</f>
        <v>29539088</v>
      </c>
      <c r="J9" s="243">
        <f>I9/H9</f>
        <v>0.972343223001229</v>
      </c>
    </row>
    <row r="10" spans="1:10" s="4" customFormat="1" ht="15.75" x14ac:dyDescent="0.25">
      <c r="B10" s="11" t="s">
        <v>151</v>
      </c>
      <c r="C10" s="11"/>
      <c r="D10" s="11" t="s">
        <v>152</v>
      </c>
      <c r="E10" s="104"/>
      <c r="F10" s="104"/>
      <c r="G10" s="72">
        <f>SUM(G11:G17)</f>
        <v>25024804</v>
      </c>
      <c r="H10" s="125">
        <f>SUM(H11:H18)</f>
        <v>30379281</v>
      </c>
      <c r="I10" s="125">
        <f>SUM(I11:I18)</f>
        <v>29539088</v>
      </c>
      <c r="J10" s="243">
        <f t="shared" ref="J10:J44" si="0">I10/H10</f>
        <v>0.972343223001229</v>
      </c>
    </row>
    <row r="11" spans="1:10" s="4" customFormat="1" ht="15.75" x14ac:dyDescent="0.25">
      <c r="B11" s="11"/>
      <c r="C11" s="11" t="s">
        <v>153</v>
      </c>
      <c r="D11" s="11" t="s">
        <v>154</v>
      </c>
      <c r="E11" s="104"/>
      <c r="F11" s="104"/>
      <c r="G11" s="106">
        <f>16461000+12*50000+12*192000</f>
        <v>19365000</v>
      </c>
      <c r="H11" s="131">
        <v>26440042</v>
      </c>
      <c r="I11" s="131">
        <v>26023258</v>
      </c>
      <c r="J11" s="243">
        <f t="shared" si="0"/>
        <v>0.984236636235298</v>
      </c>
    </row>
    <row r="12" spans="1:10" s="4" customFormat="1" ht="15.75" x14ac:dyDescent="0.25">
      <c r="B12" s="11"/>
      <c r="C12" s="11" t="s">
        <v>155</v>
      </c>
      <c r="D12" s="11" t="s">
        <v>156</v>
      </c>
      <c r="E12" s="104"/>
      <c r="F12" s="104"/>
      <c r="G12" s="106">
        <v>0</v>
      </c>
      <c r="H12" s="131">
        <v>852425</v>
      </c>
      <c r="I12" s="131">
        <v>823309</v>
      </c>
      <c r="J12" s="243">
        <f t="shared" si="0"/>
        <v>0.96584332932516059</v>
      </c>
    </row>
    <row r="13" spans="1:10" s="4" customFormat="1" ht="15.75" x14ac:dyDescent="0.25">
      <c r="B13" s="11"/>
      <c r="C13" s="11" t="s">
        <v>246</v>
      </c>
      <c r="D13" s="11" t="s">
        <v>330</v>
      </c>
      <c r="E13" s="104"/>
      <c r="F13" s="104"/>
      <c r="G13" s="73">
        <f>390000+975000</f>
        <v>1365000</v>
      </c>
      <c r="H13" s="127">
        <v>390000</v>
      </c>
      <c r="I13" s="127">
        <v>390000</v>
      </c>
      <c r="J13" s="243">
        <f t="shared" si="0"/>
        <v>1</v>
      </c>
    </row>
    <row r="14" spans="1:10" s="4" customFormat="1" ht="15.75" x14ac:dyDescent="0.25">
      <c r="B14" s="11"/>
      <c r="C14" s="11" t="s">
        <v>331</v>
      </c>
      <c r="D14" s="11" t="s">
        <v>332</v>
      </c>
      <c r="E14" s="104"/>
      <c r="F14" s="104"/>
      <c r="G14" s="112">
        <v>613000</v>
      </c>
      <c r="H14" s="261">
        <v>613000</v>
      </c>
      <c r="I14" s="261">
        <v>368778</v>
      </c>
      <c r="J14" s="243">
        <f t="shared" si="0"/>
        <v>0.6015954323001631</v>
      </c>
    </row>
    <row r="15" spans="1:10" s="4" customFormat="1" ht="15.75" x14ac:dyDescent="0.25">
      <c r="B15" s="11"/>
      <c r="C15" s="11" t="s">
        <v>333</v>
      </c>
      <c r="D15" s="11" t="s">
        <v>334</v>
      </c>
      <c r="E15" s="104"/>
      <c r="F15" s="104"/>
      <c r="G15" s="112">
        <v>0</v>
      </c>
      <c r="H15" s="261">
        <v>92500</v>
      </c>
      <c r="I15" s="261">
        <v>92500</v>
      </c>
      <c r="J15" s="243">
        <f t="shared" si="0"/>
        <v>1</v>
      </c>
    </row>
    <row r="16" spans="1:10" s="4" customFormat="1" ht="15.75" x14ac:dyDescent="0.25">
      <c r="B16" s="11"/>
      <c r="C16" s="11" t="s">
        <v>157</v>
      </c>
      <c r="D16" s="11" t="s">
        <v>158</v>
      </c>
      <c r="E16" s="104"/>
      <c r="F16" s="104"/>
      <c r="G16" s="73">
        <v>318000</v>
      </c>
      <c r="H16" s="73">
        <v>394340</v>
      </c>
      <c r="I16" s="73">
        <v>355890</v>
      </c>
      <c r="J16" s="243">
        <f t="shared" si="0"/>
        <v>0.9024953086169295</v>
      </c>
    </row>
    <row r="17" spans="1:10" s="4" customFormat="1" ht="15.75" x14ac:dyDescent="0.25">
      <c r="B17" s="11"/>
      <c r="C17" s="11" t="s">
        <v>159</v>
      </c>
      <c r="D17" s="11" t="s">
        <v>160</v>
      </c>
      <c r="E17" s="104"/>
      <c r="F17" s="104"/>
      <c r="G17" s="106">
        <f>244691*12+35626*12</f>
        <v>3363804</v>
      </c>
      <c r="H17" s="73">
        <v>1563804</v>
      </c>
      <c r="I17" s="73">
        <v>1452183</v>
      </c>
      <c r="J17" s="243">
        <f t="shared" si="0"/>
        <v>0.92862212911592501</v>
      </c>
    </row>
    <row r="18" spans="1:10" s="4" customFormat="1" ht="15.75" x14ac:dyDescent="0.25">
      <c r="B18" s="11"/>
      <c r="C18" s="11" t="s">
        <v>355</v>
      </c>
      <c r="D18" s="11" t="s">
        <v>356</v>
      </c>
      <c r="E18" s="11"/>
      <c r="F18" s="104"/>
      <c r="G18" s="106">
        <v>0</v>
      </c>
      <c r="H18" s="73">
        <v>33170</v>
      </c>
      <c r="I18" s="73">
        <v>33170</v>
      </c>
      <c r="J18" s="243">
        <f t="shared" si="0"/>
        <v>1</v>
      </c>
    </row>
    <row r="19" spans="1:10" s="9" customFormat="1" ht="15.75" customHeight="1" x14ac:dyDescent="0.25">
      <c r="A19" s="9" t="s">
        <v>24</v>
      </c>
      <c r="B19" s="9" t="s">
        <v>166</v>
      </c>
      <c r="E19" s="107"/>
      <c r="F19" s="108"/>
      <c r="G19" s="75">
        <f>SUM(G20)</f>
        <v>4879836.78</v>
      </c>
      <c r="H19" s="75">
        <f>SUM(H20:H21)</f>
        <v>5487860</v>
      </c>
      <c r="I19" s="75">
        <f>SUM(I20:I21)</f>
        <v>5482604</v>
      </c>
      <c r="J19" s="243">
        <f t="shared" si="0"/>
        <v>0.99904224962007049</v>
      </c>
    </row>
    <row r="20" spans="1:10" s="4" customFormat="1" ht="15.75" x14ac:dyDescent="0.25">
      <c r="B20" s="11"/>
      <c r="C20" s="11"/>
      <c r="D20" s="11" t="s">
        <v>167</v>
      </c>
      <c r="E20" s="104"/>
      <c r="F20" s="104"/>
      <c r="G20" s="106">
        <f>G10*0.195</f>
        <v>4879836.78</v>
      </c>
      <c r="H20" s="73">
        <v>5471487</v>
      </c>
      <c r="I20" s="73">
        <v>5466231</v>
      </c>
      <c r="J20" s="243">
        <f t="shared" si="0"/>
        <v>0.99903938362642553</v>
      </c>
    </row>
    <row r="21" spans="1:10" s="4" customFormat="1" ht="15.75" x14ac:dyDescent="0.25">
      <c r="B21" s="11"/>
      <c r="C21" s="11"/>
      <c r="D21" s="11" t="s">
        <v>335</v>
      </c>
      <c r="E21" s="104"/>
      <c r="F21" s="104"/>
      <c r="G21" s="106">
        <v>0</v>
      </c>
      <c r="H21" s="73">
        <v>16373</v>
      </c>
      <c r="I21" s="73">
        <v>16373</v>
      </c>
      <c r="J21" s="243">
        <f t="shared" si="0"/>
        <v>1</v>
      </c>
    </row>
    <row r="22" spans="1:10" s="9" customFormat="1" ht="15.75" x14ac:dyDescent="0.25">
      <c r="A22" s="9" t="s">
        <v>26</v>
      </c>
      <c r="B22" s="9" t="s">
        <v>27</v>
      </c>
      <c r="E22" s="107"/>
      <c r="F22" s="102"/>
      <c r="G22" s="76">
        <f>SUM(G23+G26+G29+G38+G35)</f>
        <v>18432326</v>
      </c>
      <c r="H22" s="76">
        <f>SUM(H23+H26+H29+H38+H35)</f>
        <v>22058825</v>
      </c>
      <c r="I22" s="76">
        <f>SUM(I23+I26+I29+I38+I35)</f>
        <v>21264639</v>
      </c>
      <c r="J22" s="243">
        <f t="shared" si="0"/>
        <v>0.96399690373353975</v>
      </c>
    </row>
    <row r="23" spans="1:10" s="4" customFormat="1" ht="15.75" x14ac:dyDescent="0.25">
      <c r="B23" s="4" t="s">
        <v>168</v>
      </c>
      <c r="C23" s="11"/>
      <c r="D23" s="11" t="s">
        <v>169</v>
      </c>
      <c r="E23" s="109"/>
      <c r="F23" s="109"/>
      <c r="G23" s="72">
        <f>SUM(G24+G25)</f>
        <v>3639326</v>
      </c>
      <c r="H23" s="72">
        <f>SUM(H24+H25)</f>
        <v>5506338</v>
      </c>
      <c r="I23" s="72">
        <f>SUM(I24+I25)</f>
        <v>5312702</v>
      </c>
      <c r="J23" s="243">
        <f t="shared" si="0"/>
        <v>0.96483397858976327</v>
      </c>
    </row>
    <row r="24" spans="1:10" s="4" customFormat="1" ht="15.75" x14ac:dyDescent="0.25">
      <c r="C24" s="11" t="s">
        <v>170</v>
      </c>
      <c r="D24" s="11" t="s">
        <v>171</v>
      </c>
      <c r="E24" s="109"/>
      <c r="F24" s="109"/>
      <c r="G24" s="73">
        <v>819000</v>
      </c>
      <c r="H24" s="73">
        <v>1506338</v>
      </c>
      <c r="I24" s="73">
        <v>1428682</v>
      </c>
      <c r="J24" s="243">
        <f t="shared" si="0"/>
        <v>0.94844716126128403</v>
      </c>
    </row>
    <row r="25" spans="1:10" s="4" customFormat="1" ht="15.75" x14ac:dyDescent="0.25">
      <c r="C25" s="11" t="s">
        <v>173</v>
      </c>
      <c r="D25" s="11" t="s">
        <v>174</v>
      </c>
      <c r="E25" s="104"/>
      <c r="F25" s="104"/>
      <c r="G25" s="73">
        <v>2820326</v>
      </c>
      <c r="H25" s="73">
        <v>4000000</v>
      </c>
      <c r="I25" s="73">
        <v>3884020</v>
      </c>
      <c r="J25" s="243">
        <f t="shared" si="0"/>
        <v>0.97100500000000001</v>
      </c>
    </row>
    <row r="26" spans="1:10" s="5" customFormat="1" ht="15.75" x14ac:dyDescent="0.25">
      <c r="B26" s="4" t="s">
        <v>175</v>
      </c>
      <c r="D26" s="11" t="s">
        <v>336</v>
      </c>
      <c r="E26" s="113"/>
      <c r="F26" s="113"/>
      <c r="G26" s="72">
        <f>G28</f>
        <v>58000</v>
      </c>
      <c r="H26" s="125">
        <f>H27+H28</f>
        <v>353884</v>
      </c>
      <c r="I26" s="125">
        <f>I27+I28</f>
        <v>116504</v>
      </c>
      <c r="J26" s="243">
        <f t="shared" si="0"/>
        <v>0.32921522306744583</v>
      </c>
    </row>
    <row r="27" spans="1:10" s="5" customFormat="1" ht="15.75" x14ac:dyDescent="0.25">
      <c r="B27" s="4"/>
      <c r="C27" s="11" t="s">
        <v>177</v>
      </c>
      <c r="D27" s="11" t="s">
        <v>178</v>
      </c>
      <c r="E27" s="113"/>
      <c r="F27" s="113"/>
      <c r="G27" s="72">
        <v>0</v>
      </c>
      <c r="H27" s="127">
        <v>135000</v>
      </c>
      <c r="I27" s="127">
        <v>97250</v>
      </c>
      <c r="J27" s="243">
        <f t="shared" si="0"/>
        <v>0.72037037037037033</v>
      </c>
    </row>
    <row r="28" spans="1:10" s="4" customFormat="1" ht="15.75" x14ac:dyDescent="0.25">
      <c r="C28" s="11" t="s">
        <v>179</v>
      </c>
      <c r="D28" s="11" t="s">
        <v>180</v>
      </c>
      <c r="E28" s="104"/>
      <c r="F28" s="104"/>
      <c r="G28" s="73">
        <v>58000</v>
      </c>
      <c r="H28" s="127">
        <v>218884</v>
      </c>
      <c r="I28" s="127">
        <v>19254</v>
      </c>
      <c r="J28" s="243">
        <f t="shared" si="0"/>
        <v>8.7964401235357537E-2</v>
      </c>
    </row>
    <row r="29" spans="1:10" s="4" customFormat="1" ht="15.75" x14ac:dyDescent="0.25">
      <c r="B29" s="4" t="s">
        <v>181</v>
      </c>
      <c r="C29" s="11"/>
      <c r="D29" s="11" t="s">
        <v>182</v>
      </c>
      <c r="E29" s="104"/>
      <c r="F29" s="104"/>
      <c r="G29" s="12">
        <f>SUM(G30+G31+G32+G33)</f>
        <v>11493000</v>
      </c>
      <c r="H29" s="200">
        <f>SUM(H30:H33)</f>
        <v>12369619</v>
      </c>
      <c r="I29" s="200">
        <f>SUM(I30:I33)</f>
        <v>12131640</v>
      </c>
      <c r="J29" s="243">
        <f t="shared" si="0"/>
        <v>0.98076100807955358</v>
      </c>
    </row>
    <row r="30" spans="1:10" s="4" customFormat="1" ht="15.75" x14ac:dyDescent="0.25">
      <c r="C30" s="11" t="s">
        <v>183</v>
      </c>
      <c r="D30" s="11" t="s">
        <v>184</v>
      </c>
      <c r="E30" s="104"/>
      <c r="F30" s="104"/>
      <c r="G30" s="73">
        <v>2283000</v>
      </c>
      <c r="H30" s="127">
        <v>2287423</v>
      </c>
      <c r="I30" s="127">
        <v>2240302</v>
      </c>
      <c r="J30" s="243">
        <f t="shared" si="0"/>
        <v>0.97939996231567139</v>
      </c>
    </row>
    <row r="31" spans="1:10" s="4" customFormat="1" ht="15.75" x14ac:dyDescent="0.25">
      <c r="C31" s="11" t="s">
        <v>337</v>
      </c>
      <c r="D31" s="11" t="s">
        <v>338</v>
      </c>
      <c r="E31" s="104"/>
      <c r="F31" s="104"/>
      <c r="G31" s="106">
        <v>6500000</v>
      </c>
      <c r="H31" s="131">
        <v>6745076</v>
      </c>
      <c r="I31" s="131">
        <v>6679218</v>
      </c>
      <c r="J31" s="243">
        <f t="shared" si="0"/>
        <v>0.99023613670179556</v>
      </c>
    </row>
    <row r="32" spans="1:10" s="4" customFormat="1" ht="15.75" x14ac:dyDescent="0.25">
      <c r="C32" s="11" t="s">
        <v>185</v>
      </c>
      <c r="D32" s="11" t="s">
        <v>186</v>
      </c>
      <c r="E32" s="104"/>
      <c r="F32" s="104"/>
      <c r="G32" s="106">
        <v>800000</v>
      </c>
      <c r="H32" s="131">
        <v>2150682</v>
      </c>
      <c r="I32" s="131">
        <v>2025682</v>
      </c>
      <c r="J32" s="243">
        <f t="shared" si="0"/>
        <v>0.94187890166933097</v>
      </c>
    </row>
    <row r="33" spans="1:10" s="4" customFormat="1" ht="15.75" x14ac:dyDescent="0.25">
      <c r="C33" s="11" t="s">
        <v>187</v>
      </c>
      <c r="D33" s="11" t="s">
        <v>188</v>
      </c>
      <c r="E33" s="104"/>
      <c r="F33" s="104"/>
      <c r="G33" s="73">
        <v>1910000</v>
      </c>
      <c r="H33" s="127">
        <v>1186438</v>
      </c>
      <c r="I33" s="127">
        <f>1173704+I34</f>
        <v>1186438</v>
      </c>
      <c r="J33" s="243">
        <f t="shared" si="0"/>
        <v>1</v>
      </c>
    </row>
    <row r="34" spans="1:10" s="4" customFormat="1" ht="15.75" x14ac:dyDescent="0.25">
      <c r="C34" s="11"/>
      <c r="D34" s="11"/>
      <c r="E34" s="104" t="s">
        <v>189</v>
      </c>
      <c r="F34" s="104"/>
      <c r="G34" s="106">
        <v>12500</v>
      </c>
      <c r="H34" s="131">
        <v>13000</v>
      </c>
      <c r="I34" s="131">
        <v>12734</v>
      </c>
      <c r="J34" s="243">
        <f t="shared" si="0"/>
        <v>0.97953846153846158</v>
      </c>
    </row>
    <row r="35" spans="1:10" s="4" customFormat="1" ht="15.75" x14ac:dyDescent="0.25">
      <c r="B35" s="4" t="s">
        <v>190</v>
      </c>
      <c r="C35" s="11"/>
      <c r="D35" s="11" t="s">
        <v>191</v>
      </c>
      <c r="E35" s="104"/>
      <c r="F35" s="104"/>
      <c r="G35" s="71">
        <f>SUM(G36)</f>
        <v>72000</v>
      </c>
      <c r="H35" s="201">
        <f>SUM(H36)</f>
        <v>101116</v>
      </c>
      <c r="I35" s="201">
        <f>SUM(I36)</f>
        <v>86145</v>
      </c>
      <c r="J35" s="243">
        <f t="shared" si="0"/>
        <v>0.8519423236678666</v>
      </c>
    </row>
    <row r="36" spans="1:10" s="4" customFormat="1" ht="15.75" x14ac:dyDescent="0.25">
      <c r="C36" s="11" t="s">
        <v>192</v>
      </c>
      <c r="D36" s="11" t="s">
        <v>193</v>
      </c>
      <c r="E36" s="104"/>
      <c r="F36" s="104"/>
      <c r="G36" s="73">
        <v>72000</v>
      </c>
      <c r="H36" s="127">
        <f>H37</f>
        <v>101116</v>
      </c>
      <c r="I36" s="127">
        <f>I37</f>
        <v>86145</v>
      </c>
      <c r="J36" s="243">
        <f t="shared" si="0"/>
        <v>0.8519423236678666</v>
      </c>
    </row>
    <row r="37" spans="1:10" s="4" customFormat="1" ht="15.75" x14ac:dyDescent="0.25">
      <c r="C37" s="11"/>
      <c r="D37" s="11"/>
      <c r="E37" s="104" t="s">
        <v>339</v>
      </c>
      <c r="F37" s="104"/>
      <c r="G37" s="106">
        <v>72000</v>
      </c>
      <c r="H37" s="131">
        <v>101116</v>
      </c>
      <c r="I37" s="131">
        <v>86145</v>
      </c>
      <c r="J37" s="243">
        <f t="shared" si="0"/>
        <v>0.8519423236678666</v>
      </c>
    </row>
    <row r="38" spans="1:10" s="4" customFormat="1" ht="15.75" x14ac:dyDescent="0.25">
      <c r="B38" s="4" t="s">
        <v>194</v>
      </c>
      <c r="C38" s="11"/>
      <c r="D38" s="11" t="s">
        <v>195</v>
      </c>
      <c r="E38" s="11"/>
      <c r="F38" s="202"/>
      <c r="G38" s="12">
        <f>SUM(G39)</f>
        <v>3170000</v>
      </c>
      <c r="H38" s="200">
        <f>SUM(H39:H41)</f>
        <v>3727868</v>
      </c>
      <c r="I38" s="200">
        <f>SUM(I39:I41)</f>
        <v>3617648</v>
      </c>
      <c r="J38" s="243">
        <f t="shared" si="0"/>
        <v>0.9704335024738</v>
      </c>
    </row>
    <row r="39" spans="1:10" s="4" customFormat="1" ht="15.75" x14ac:dyDescent="0.25">
      <c r="C39" s="11" t="s">
        <v>196</v>
      </c>
      <c r="D39" s="11" t="s">
        <v>197</v>
      </c>
      <c r="E39" s="11"/>
      <c r="F39" s="202"/>
      <c r="G39" s="110">
        <v>3170000</v>
      </c>
      <c r="H39" s="130">
        <v>3726216</v>
      </c>
      <c r="I39" s="130">
        <v>3616935</v>
      </c>
      <c r="J39" s="243">
        <f t="shared" si="0"/>
        <v>0.97067239258271665</v>
      </c>
    </row>
    <row r="40" spans="1:10" s="4" customFormat="1" ht="15.75" x14ac:dyDescent="0.25">
      <c r="C40" s="11" t="s">
        <v>198</v>
      </c>
      <c r="D40" s="11" t="s">
        <v>340</v>
      </c>
      <c r="E40" s="11"/>
      <c r="F40" s="202"/>
      <c r="G40" s="130"/>
      <c r="H40" s="130">
        <v>652</v>
      </c>
      <c r="I40" s="130">
        <v>652</v>
      </c>
      <c r="J40" s="243">
        <f t="shared" si="0"/>
        <v>1</v>
      </c>
    </row>
    <row r="41" spans="1:10" s="4" customFormat="1" ht="15.75" x14ac:dyDescent="0.25">
      <c r="C41" s="11" t="s">
        <v>200</v>
      </c>
      <c r="D41" s="11" t="s">
        <v>201</v>
      </c>
      <c r="E41" s="11"/>
      <c r="F41" s="202"/>
      <c r="G41" s="38">
        <v>1000</v>
      </c>
      <c r="H41" s="38">
        <v>1000</v>
      </c>
      <c r="I41" s="38">
        <v>61</v>
      </c>
      <c r="J41" s="243">
        <f t="shared" si="0"/>
        <v>6.0999999999999999E-2</v>
      </c>
    </row>
    <row r="42" spans="1:10" s="9" customFormat="1" ht="15.75" x14ac:dyDescent="0.25">
      <c r="A42" s="9" t="s">
        <v>33</v>
      </c>
      <c r="B42" s="9" t="s">
        <v>34</v>
      </c>
      <c r="F42" s="120"/>
      <c r="G42" s="103">
        <f>SUM(G43:G44)</f>
        <v>127000</v>
      </c>
      <c r="H42" s="203">
        <f>SUM(H43:H44)</f>
        <v>418000</v>
      </c>
      <c r="I42" s="203">
        <f>SUM(I43:I44)</f>
        <v>418000</v>
      </c>
      <c r="J42" s="243">
        <f t="shared" si="0"/>
        <v>1</v>
      </c>
    </row>
    <row r="43" spans="1:10" s="9" customFormat="1" ht="15.75" x14ac:dyDescent="0.25">
      <c r="B43" s="11" t="s">
        <v>227</v>
      </c>
      <c r="D43" s="11" t="s">
        <v>341</v>
      </c>
      <c r="F43" s="120"/>
      <c r="G43" s="106">
        <v>100000</v>
      </c>
      <c r="H43" s="131">
        <v>329134</v>
      </c>
      <c r="I43" s="131">
        <v>329134</v>
      </c>
      <c r="J43" s="243">
        <f t="shared" si="0"/>
        <v>1</v>
      </c>
    </row>
    <row r="44" spans="1:10" s="9" customFormat="1" ht="26.25" customHeight="1" x14ac:dyDescent="0.25">
      <c r="B44" s="11" t="s">
        <v>229</v>
      </c>
      <c r="D44" s="11" t="s">
        <v>342</v>
      </c>
      <c r="F44" s="204"/>
      <c r="G44" s="106">
        <f>G43*0.27</f>
        <v>27000</v>
      </c>
      <c r="H44" s="131">
        <v>88866</v>
      </c>
      <c r="I44" s="131">
        <v>88866</v>
      </c>
      <c r="J44" s="243">
        <f t="shared" si="0"/>
        <v>1</v>
      </c>
    </row>
    <row r="45" spans="1:10" s="187" customFormat="1" ht="24.6" customHeight="1" x14ac:dyDescent="0.25">
      <c r="A45" s="423" t="s">
        <v>327</v>
      </c>
      <c r="B45" s="423"/>
      <c r="C45" s="423"/>
      <c r="D45" s="423"/>
      <c r="E45" s="423"/>
      <c r="F45" s="205">
        <v>1</v>
      </c>
      <c r="G45" s="206">
        <f>SUM(G46+G51)</f>
        <v>1075000</v>
      </c>
      <c r="H45" s="207">
        <f>SUM(H46+H51)</f>
        <v>1203994</v>
      </c>
      <c r="I45" s="207">
        <f>SUM(I46+I51)</f>
        <v>1167927</v>
      </c>
      <c r="J45" s="245">
        <f>I45/H45</f>
        <v>0.97004387065051823</v>
      </c>
    </row>
    <row r="46" spans="1:10" s="9" customFormat="1" ht="15.75" x14ac:dyDescent="0.25">
      <c r="A46" s="9" t="s">
        <v>22</v>
      </c>
      <c r="B46" s="13" t="s">
        <v>150</v>
      </c>
      <c r="C46" s="13"/>
      <c r="D46" s="13"/>
      <c r="E46" s="102"/>
      <c r="F46" s="102"/>
      <c r="G46" s="78">
        <f>SUM(G47)</f>
        <v>979000</v>
      </c>
      <c r="H46" s="129">
        <f>SUM(H47)</f>
        <v>1089075</v>
      </c>
      <c r="I46" s="129">
        <f>SUM(I47)</f>
        <v>1066671</v>
      </c>
      <c r="J46" s="243">
        <f t="shared" ref="J46:J50" si="1">SUM(J47)</f>
        <v>0.88110756271808843</v>
      </c>
    </row>
    <row r="47" spans="1:10" s="4" customFormat="1" ht="15.75" x14ac:dyDescent="0.25">
      <c r="B47" s="11" t="s">
        <v>151</v>
      </c>
      <c r="C47" s="11"/>
      <c r="D47" s="11" t="s">
        <v>152</v>
      </c>
      <c r="E47" s="104"/>
      <c r="F47" s="104"/>
      <c r="G47" s="72">
        <f>SUM(G48:G50)</f>
        <v>979000</v>
      </c>
      <c r="H47" s="125">
        <f>SUM(H48:H50)</f>
        <v>1089075</v>
      </c>
      <c r="I47" s="125">
        <f>SUM(I48:I50)</f>
        <v>1066671</v>
      </c>
      <c r="J47" s="243">
        <f t="shared" si="1"/>
        <v>0.88110756271808843</v>
      </c>
    </row>
    <row r="48" spans="1:10" s="4" customFormat="1" ht="15.75" x14ac:dyDescent="0.25">
      <c r="B48" s="11"/>
      <c r="C48" s="11" t="s">
        <v>153</v>
      </c>
      <c r="D48" s="11" t="s">
        <v>154</v>
      </c>
      <c r="E48" s="104"/>
      <c r="F48" s="104"/>
      <c r="G48" s="106">
        <v>979000</v>
      </c>
      <c r="H48" s="131">
        <v>1059000</v>
      </c>
      <c r="I48" s="131">
        <v>1036596</v>
      </c>
      <c r="J48" s="243">
        <f t="shared" si="1"/>
        <v>0.88110756271808843</v>
      </c>
    </row>
    <row r="49" spans="1:10" s="4" customFormat="1" ht="15.75" x14ac:dyDescent="0.25">
      <c r="B49" s="11"/>
      <c r="C49" s="11" t="s">
        <v>155</v>
      </c>
      <c r="D49" s="11" t="s">
        <v>343</v>
      </c>
      <c r="E49" s="104"/>
      <c r="F49" s="104"/>
      <c r="G49" s="106">
        <v>0</v>
      </c>
      <c r="H49" s="131">
        <v>30075</v>
      </c>
      <c r="I49" s="131">
        <v>30075</v>
      </c>
      <c r="J49" s="243">
        <f t="shared" si="1"/>
        <v>0.88110756271808843</v>
      </c>
    </row>
    <row r="50" spans="1:10" s="4" customFormat="1" ht="15.75" customHeight="1" x14ac:dyDescent="0.25">
      <c r="B50" s="11"/>
      <c r="C50" s="11" t="s">
        <v>159</v>
      </c>
      <c r="D50" s="11" t="s">
        <v>160</v>
      </c>
      <c r="E50" s="104"/>
      <c r="F50" s="104"/>
      <c r="G50" s="106">
        <v>0</v>
      </c>
      <c r="H50" s="131">
        <v>0</v>
      </c>
      <c r="I50" s="131">
        <v>0</v>
      </c>
      <c r="J50" s="243">
        <f t="shared" si="1"/>
        <v>0.88110756271808843</v>
      </c>
    </row>
    <row r="51" spans="1:10" s="9" customFormat="1" ht="15.75" x14ac:dyDescent="0.25">
      <c r="A51" s="9" t="s">
        <v>24</v>
      </c>
      <c r="B51" s="9" t="s">
        <v>166</v>
      </c>
      <c r="E51" s="107"/>
      <c r="F51" s="108"/>
      <c r="G51" s="78">
        <f>SUM(G52)</f>
        <v>96000</v>
      </c>
      <c r="H51" s="129">
        <f>H52</f>
        <v>114919</v>
      </c>
      <c r="I51" s="129">
        <f>SUM(I52)</f>
        <v>101256</v>
      </c>
      <c r="J51" s="243">
        <f>SUM(J52)</f>
        <v>0.88110756271808843</v>
      </c>
    </row>
    <row r="52" spans="1:10" s="4" customFormat="1" ht="24.75" customHeight="1" x14ac:dyDescent="0.25">
      <c r="B52" s="11"/>
      <c r="C52" s="11"/>
      <c r="D52" s="11" t="s">
        <v>167</v>
      </c>
      <c r="E52" s="104"/>
      <c r="F52" s="104"/>
      <c r="G52" s="106">
        <v>96000</v>
      </c>
      <c r="H52" s="131">
        <v>114919</v>
      </c>
      <c r="I52" s="131">
        <v>101256</v>
      </c>
      <c r="J52" s="244">
        <f>I52/H52</f>
        <v>0.88110756271808843</v>
      </c>
    </row>
    <row r="53" spans="1:10" s="187" customFormat="1" ht="21.75" customHeight="1" x14ac:dyDescent="0.25">
      <c r="A53" s="208" t="s">
        <v>39</v>
      </c>
      <c r="B53" s="209"/>
      <c r="C53" s="209"/>
      <c r="D53" s="209"/>
      <c r="E53" s="210"/>
      <c r="F53" s="210"/>
      <c r="G53" s="211">
        <f>SUM(G8,G45)</f>
        <v>49538966.780000001</v>
      </c>
      <c r="H53" s="212">
        <f>SUM(H8,H45)</f>
        <v>59547960</v>
      </c>
      <c r="I53" s="212">
        <f>SUM(I8,I45)</f>
        <v>57872258</v>
      </c>
      <c r="J53" s="258">
        <f>I53/H53</f>
        <v>0.97185962373857981</v>
      </c>
    </row>
    <row r="54" spans="1:10" s="187" customFormat="1" ht="15.75" x14ac:dyDescent="0.25">
      <c r="A54" s="213" t="s">
        <v>344</v>
      </c>
      <c r="B54" s="214"/>
      <c r="C54" s="214"/>
      <c r="D54" s="214"/>
      <c r="E54" s="215"/>
      <c r="F54" s="216">
        <f>SUM(F8,F45)</f>
        <v>9</v>
      </c>
      <c r="G54" s="217"/>
      <c r="H54" s="218"/>
      <c r="I54" s="218"/>
      <c r="J54" s="259"/>
    </row>
    <row r="55" spans="1:10" s="4" customFormat="1" ht="15.75" x14ac:dyDescent="0.25">
      <c r="A55" s="58" t="s">
        <v>22</v>
      </c>
      <c r="B55" s="57" t="s">
        <v>150</v>
      </c>
      <c r="C55" s="57"/>
      <c r="D55" s="57"/>
      <c r="E55" s="57"/>
      <c r="F55" s="219"/>
      <c r="G55" s="220">
        <f>G9+G46</f>
        <v>26003804</v>
      </c>
      <c r="H55" s="220">
        <f>H9+H46</f>
        <v>31468356</v>
      </c>
      <c r="I55" s="220">
        <f>I9+I46</f>
        <v>30605759</v>
      </c>
      <c r="J55" s="260">
        <f>I55/H55</f>
        <v>0.97258843137531559</v>
      </c>
    </row>
    <row r="56" spans="1:10" s="4" customFormat="1" ht="15.75" x14ac:dyDescent="0.25">
      <c r="A56" s="58" t="s">
        <v>24</v>
      </c>
      <c r="B56" s="62" t="s">
        <v>166</v>
      </c>
      <c r="C56" s="62"/>
      <c r="D56" s="62"/>
      <c r="E56" s="62"/>
      <c r="F56" s="221"/>
      <c r="G56" s="222">
        <f>G19+G51</f>
        <v>4975836.78</v>
      </c>
      <c r="H56" s="222">
        <f>H19+H51</f>
        <v>5602779</v>
      </c>
      <c r="I56" s="222">
        <f>I19+I51</f>
        <v>5583860</v>
      </c>
      <c r="J56" s="260">
        <f t="shared" ref="J56:J58" si="2">I56/H56</f>
        <v>0.99662328283874846</v>
      </c>
    </row>
    <row r="57" spans="1:10" s="4" customFormat="1" ht="15.75" x14ac:dyDescent="0.25">
      <c r="A57" s="58" t="s">
        <v>26</v>
      </c>
      <c r="B57" s="62" t="s">
        <v>27</v>
      </c>
      <c r="C57" s="62"/>
      <c r="D57" s="62"/>
      <c r="E57" s="62"/>
      <c r="F57" s="221"/>
      <c r="G57" s="222">
        <f>G22</f>
        <v>18432326</v>
      </c>
      <c r="H57" s="222">
        <f>H22</f>
        <v>22058825</v>
      </c>
      <c r="I57" s="222">
        <f>I22</f>
        <v>21264639</v>
      </c>
      <c r="J57" s="260">
        <f t="shared" si="2"/>
        <v>0.96399690373353975</v>
      </c>
    </row>
    <row r="58" spans="1:10" s="224" customFormat="1" ht="15.75" x14ac:dyDescent="0.25">
      <c r="A58" s="58" t="s">
        <v>33</v>
      </c>
      <c r="B58" s="62" t="s">
        <v>34</v>
      </c>
      <c r="C58" s="62"/>
      <c r="D58" s="62"/>
      <c r="E58" s="62"/>
      <c r="F58" s="221"/>
      <c r="G58" s="223">
        <f>G42</f>
        <v>127000</v>
      </c>
      <c r="H58" s="223">
        <f>H42</f>
        <v>418000</v>
      </c>
      <c r="I58" s="223">
        <f>I42</f>
        <v>418000</v>
      </c>
      <c r="J58" s="260">
        <f t="shared" si="2"/>
        <v>1</v>
      </c>
    </row>
    <row r="59" spans="1:10" s="224" customFormat="1" ht="16.899999999999999" customHeight="1" x14ac:dyDescent="0.25">
      <c r="A59" s="208" t="s">
        <v>345</v>
      </c>
      <c r="B59" s="209"/>
      <c r="C59" s="209"/>
      <c r="D59" s="209"/>
      <c r="E59" s="209"/>
      <c r="F59" s="209"/>
      <c r="G59" s="225">
        <f>SUM(G55:G58)</f>
        <v>49538966.780000001</v>
      </c>
      <c r="H59" s="226">
        <f>SUM(H55:H58)</f>
        <v>59547960</v>
      </c>
      <c r="I59" s="226">
        <f>SUM(I55:I58)</f>
        <v>57872258</v>
      </c>
      <c r="J59" s="254">
        <f>I59/H59</f>
        <v>0.97185962373857981</v>
      </c>
    </row>
    <row r="60" spans="1:10" s="187" customFormat="1" ht="18" customHeight="1" x14ac:dyDescent="0.25">
      <c r="F60" s="227"/>
      <c r="H60" s="222"/>
    </row>
    <row r="61" spans="1:10" s="187" customFormat="1" ht="16.899999999999999" customHeight="1" x14ac:dyDescent="0.25">
      <c r="F61" s="228"/>
      <c r="H61" s="222"/>
    </row>
    <row r="62" spans="1:10" s="187" customFormat="1" ht="15.75" x14ac:dyDescent="0.25">
      <c r="E62" s="229"/>
      <c r="F62" s="230"/>
    </row>
    <row r="63" spans="1:10" s="194" customFormat="1" ht="15.75" x14ac:dyDescent="0.25">
      <c r="E63" s="231"/>
      <c r="F63" s="232"/>
    </row>
    <row r="64" spans="1:10" s="194" customFormat="1" ht="15.75" x14ac:dyDescent="0.25">
      <c r="E64" s="231"/>
      <c r="F64" s="232"/>
    </row>
    <row r="65" spans="6:8" s="194" customFormat="1" ht="15.75" x14ac:dyDescent="0.25">
      <c r="F65" s="28"/>
      <c r="G65" s="224"/>
      <c r="H65" s="224"/>
    </row>
    <row r="66" spans="6:8" ht="15.75" x14ac:dyDescent="0.25">
      <c r="F66" s="224"/>
      <c r="G66" s="233"/>
      <c r="H66" s="233"/>
    </row>
    <row r="67" spans="6:8" ht="15.75" x14ac:dyDescent="0.25">
      <c r="G67" s="233"/>
      <c r="H67" s="233"/>
    </row>
    <row r="68" spans="6:8" ht="15.75" x14ac:dyDescent="0.25">
      <c r="G68" s="233"/>
      <c r="H68" s="233"/>
    </row>
  </sheetData>
  <sheetProtection selectLockedCells="1" selectUnlockedCells="1"/>
  <mergeCells count="8">
    <mergeCell ref="A1:J1"/>
    <mergeCell ref="A4:J4"/>
    <mergeCell ref="A5:J5"/>
    <mergeCell ref="A8:E8"/>
    <mergeCell ref="A45:E45"/>
    <mergeCell ref="A2:H2"/>
    <mergeCell ref="A6:E7"/>
    <mergeCell ref="F6:F7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5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2"/>
  <sheetViews>
    <sheetView view="pageBreakPreview" zoomScale="120" zoomScaleNormal="120" zoomScaleSheetLayoutView="120" workbookViewId="0">
      <selection activeCell="C26" sqref="C26"/>
    </sheetView>
  </sheetViews>
  <sheetFormatPr defaultColWidth="9.140625" defaultRowHeight="12.75" x14ac:dyDescent="0.2"/>
  <cols>
    <col min="1" max="1" width="54.140625" style="167" customWidth="1"/>
    <col min="2" max="3" width="16.85546875" style="167" customWidth="1"/>
    <col min="4" max="4" width="14" style="167" customWidth="1"/>
    <col min="5" max="5" width="14.140625" style="167" customWidth="1"/>
    <col min="6" max="16384" width="9.140625" style="167"/>
  </cols>
  <sheetData>
    <row r="1" spans="1:5" ht="15.75" x14ac:dyDescent="0.25">
      <c r="A1" s="420" t="s">
        <v>357</v>
      </c>
      <c r="B1" s="420"/>
      <c r="C1" s="420"/>
      <c r="D1" s="394"/>
      <c r="E1" s="394"/>
    </row>
    <row r="2" spans="1:5" ht="15.75" x14ac:dyDescent="0.25">
      <c r="A2" s="420"/>
      <c r="B2" s="420"/>
      <c r="C2" s="420"/>
    </row>
    <row r="3" spans="1:5" ht="15.75" x14ac:dyDescent="0.25">
      <c r="A3" s="420"/>
      <c r="B3" s="420"/>
    </row>
    <row r="4" spans="1:5" s="169" customFormat="1" ht="21" customHeight="1" x14ac:dyDescent="0.25">
      <c r="A4" s="422" t="s">
        <v>316</v>
      </c>
      <c r="B4" s="422"/>
      <c r="C4" s="394"/>
      <c r="D4" s="394"/>
      <c r="E4" s="394"/>
    </row>
    <row r="5" spans="1:5" s="169" customFormat="1" ht="23.25" customHeight="1" x14ac:dyDescent="0.25">
      <c r="A5" s="422" t="s">
        <v>308</v>
      </c>
      <c r="B5" s="422"/>
      <c r="C5" s="394"/>
      <c r="D5" s="394"/>
      <c r="E5" s="394"/>
    </row>
    <row r="6" spans="1:5" s="169" customFormat="1" ht="23.25" customHeight="1" x14ac:dyDescent="0.25">
      <c r="A6" s="170"/>
      <c r="B6" s="170"/>
      <c r="C6" s="170"/>
    </row>
    <row r="7" spans="1:5" s="169" customFormat="1" ht="61.9" customHeight="1" x14ac:dyDescent="0.25">
      <c r="A7" s="421" t="s">
        <v>280</v>
      </c>
      <c r="B7" s="172" t="s">
        <v>42</v>
      </c>
      <c r="C7" s="172" t="s">
        <v>42</v>
      </c>
      <c r="D7" s="241" t="s">
        <v>350</v>
      </c>
      <c r="E7" s="242" t="s">
        <v>351</v>
      </c>
    </row>
    <row r="8" spans="1:5" s="169" customFormat="1" ht="39" customHeight="1" x14ac:dyDescent="0.25">
      <c r="A8" s="421"/>
      <c r="B8" s="172" t="s">
        <v>4</v>
      </c>
      <c r="C8" s="172" t="s">
        <v>5</v>
      </c>
      <c r="D8" s="264" t="s">
        <v>353</v>
      </c>
      <c r="E8" s="264" t="s">
        <v>352</v>
      </c>
    </row>
    <row r="9" spans="1:5" s="169" customFormat="1" ht="25.9" customHeight="1" x14ac:dyDescent="0.25">
      <c r="A9" s="173" t="s">
        <v>346</v>
      </c>
      <c r="B9" s="174">
        <f>SUM(B10:B10)</f>
        <v>127000</v>
      </c>
      <c r="C9" s="262">
        <v>0</v>
      </c>
      <c r="D9" s="262">
        <v>0</v>
      </c>
      <c r="E9" s="328" t="s">
        <v>363</v>
      </c>
    </row>
    <row r="10" spans="1:5" s="178" customFormat="1" ht="23.25" customHeight="1" x14ac:dyDescent="0.25">
      <c r="A10" s="175" t="s">
        <v>347</v>
      </c>
      <c r="B10" s="176">
        <v>127000</v>
      </c>
      <c r="C10" s="263">
        <v>0</v>
      </c>
      <c r="D10" s="263">
        <v>0</v>
      </c>
      <c r="E10" s="328" t="s">
        <v>363</v>
      </c>
    </row>
    <row r="11" spans="1:5" s="178" customFormat="1" ht="23.25" customHeight="1" thickBot="1" x14ac:dyDescent="0.3">
      <c r="A11" s="330" t="s">
        <v>348</v>
      </c>
      <c r="B11" s="331">
        <v>0</v>
      </c>
      <c r="C11" s="332">
        <v>418000</v>
      </c>
      <c r="D11" s="332">
        <v>418000</v>
      </c>
      <c r="E11" s="333">
        <f t="shared" ref="E11:E12" si="0">D11/C11</f>
        <v>1</v>
      </c>
    </row>
    <row r="12" spans="1:5" s="183" customFormat="1" ht="26.25" customHeight="1" x14ac:dyDescent="0.25">
      <c r="A12" s="181" t="s">
        <v>315</v>
      </c>
      <c r="B12" s="182">
        <f>B9</f>
        <v>127000</v>
      </c>
      <c r="C12" s="327">
        <f>SUM(C9:C11)</f>
        <v>418000</v>
      </c>
      <c r="D12" s="327">
        <f>SUM(D9:D11)</f>
        <v>418000</v>
      </c>
      <c r="E12" s="329">
        <f t="shared" si="0"/>
        <v>1</v>
      </c>
    </row>
  </sheetData>
  <sheetProtection selectLockedCells="1" selectUnlockedCells="1"/>
  <mergeCells count="6">
    <mergeCell ref="A7:A8"/>
    <mergeCell ref="A4:E4"/>
    <mergeCell ref="A5:E5"/>
    <mergeCell ref="A1:E1"/>
    <mergeCell ref="A2:C2"/>
    <mergeCell ref="A3:B3"/>
  </mergeCells>
  <printOptions headings="1" gridLines="1"/>
  <pageMargins left="0.75" right="0.75" top="1" bottom="1" header="0.51180555555555551" footer="0.51180555555555551"/>
  <pageSetup paperSize="9" scale="7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view="pageBreakPreview" zoomScale="120" zoomScaleNormal="100" zoomScaleSheetLayoutView="120" workbookViewId="0">
      <pane ySplit="5" topLeftCell="A6" activePane="bottomLeft" state="frozen"/>
      <selection pane="bottomLeft" sqref="A1:C1"/>
    </sheetView>
  </sheetViews>
  <sheetFormatPr defaultColWidth="8.85546875" defaultRowHeight="12.75" x14ac:dyDescent="0.2"/>
  <cols>
    <col min="1" max="1" width="8.28515625" style="371" customWidth="1"/>
    <col min="2" max="2" width="41" style="371" customWidth="1"/>
    <col min="3" max="3" width="32.7109375" style="371" customWidth="1"/>
    <col min="4" max="16384" width="8.85546875" style="371"/>
  </cols>
  <sheetData>
    <row r="1" spans="1:6" x14ac:dyDescent="0.2">
      <c r="A1" s="433" t="s">
        <v>625</v>
      </c>
      <c r="B1" s="433"/>
      <c r="C1" s="433"/>
    </row>
    <row r="2" spans="1:6" x14ac:dyDescent="0.2">
      <c r="A2" s="373"/>
      <c r="B2" s="373"/>
      <c r="C2" s="373"/>
    </row>
    <row r="3" spans="1:6" ht="15.75" x14ac:dyDescent="0.2">
      <c r="A3" s="395" t="s">
        <v>0</v>
      </c>
      <c r="B3" s="434"/>
      <c r="C3" s="434"/>
      <c r="D3" s="367"/>
      <c r="E3" s="367"/>
      <c r="F3" s="367"/>
    </row>
    <row r="4" spans="1:6" ht="15.75" x14ac:dyDescent="0.2">
      <c r="A4" s="395" t="s">
        <v>392</v>
      </c>
      <c r="B4" s="434"/>
      <c r="C4" s="434"/>
      <c r="D4" s="367"/>
      <c r="E4" s="367"/>
      <c r="F4" s="367"/>
    </row>
    <row r="5" spans="1:6" x14ac:dyDescent="0.2">
      <c r="A5" s="373"/>
      <c r="B5" s="373"/>
      <c r="C5" s="373"/>
    </row>
    <row r="6" spans="1:6" x14ac:dyDescent="0.2">
      <c r="A6" s="431" t="s">
        <v>391</v>
      </c>
      <c r="B6" s="432"/>
      <c r="C6" s="432"/>
    </row>
    <row r="7" spans="1:6" ht="15" x14ac:dyDescent="0.2">
      <c r="A7" s="372" t="s">
        <v>390</v>
      </c>
      <c r="B7" s="372" t="s">
        <v>280</v>
      </c>
      <c r="C7" s="372" t="s">
        <v>389</v>
      </c>
    </row>
    <row r="8" spans="1:6" ht="15" x14ac:dyDescent="0.2">
      <c r="A8" s="372">
        <v>1</v>
      </c>
      <c r="B8" s="372">
        <v>2</v>
      </c>
      <c r="C8" s="372">
        <v>3</v>
      </c>
    </row>
    <row r="9" spans="1:6" ht="25.5" x14ac:dyDescent="0.2">
      <c r="A9" s="374" t="s">
        <v>388</v>
      </c>
      <c r="B9" s="375" t="s">
        <v>387</v>
      </c>
      <c r="C9" s="376">
        <v>80476230</v>
      </c>
    </row>
    <row r="10" spans="1:6" x14ac:dyDescent="0.2">
      <c r="A10" s="374" t="s">
        <v>386</v>
      </c>
      <c r="B10" s="375" t="s">
        <v>385</v>
      </c>
      <c r="C10" s="376">
        <v>43508706</v>
      </c>
    </row>
    <row r="11" spans="1:6" ht="25.5" x14ac:dyDescent="0.2">
      <c r="A11" s="377" t="s">
        <v>384</v>
      </c>
      <c r="B11" s="378" t="s">
        <v>383</v>
      </c>
      <c r="C11" s="379">
        <v>36967524</v>
      </c>
    </row>
    <row r="12" spans="1:6" ht="25.5" x14ac:dyDescent="0.2">
      <c r="A12" s="374" t="s">
        <v>382</v>
      </c>
      <c r="B12" s="375" t="s">
        <v>381</v>
      </c>
      <c r="C12" s="376">
        <v>31166379</v>
      </c>
    </row>
    <row r="13" spans="1:6" ht="25.5" x14ac:dyDescent="0.2">
      <c r="A13" s="374" t="s">
        <v>380</v>
      </c>
      <c r="B13" s="375" t="s">
        <v>379</v>
      </c>
      <c r="C13" s="376">
        <v>35630579</v>
      </c>
    </row>
    <row r="14" spans="1:6" ht="25.5" x14ac:dyDescent="0.2">
      <c r="A14" s="377" t="s">
        <v>378</v>
      </c>
      <c r="B14" s="378" t="s">
        <v>377</v>
      </c>
      <c r="C14" s="379">
        <v>-4464200</v>
      </c>
    </row>
    <row r="15" spans="1:6" ht="25.5" x14ac:dyDescent="0.2">
      <c r="A15" s="377" t="s">
        <v>376</v>
      </c>
      <c r="B15" s="378" t="s">
        <v>375</v>
      </c>
      <c r="C15" s="379">
        <v>32503324</v>
      </c>
    </row>
    <row r="16" spans="1:6" x14ac:dyDescent="0.2">
      <c r="A16" s="377" t="s">
        <v>374</v>
      </c>
      <c r="B16" s="378" t="s">
        <v>373</v>
      </c>
      <c r="C16" s="379">
        <v>32503324</v>
      </c>
    </row>
    <row r="17" spans="1:3" ht="25.5" x14ac:dyDescent="0.2">
      <c r="A17" s="377" t="s">
        <v>372</v>
      </c>
      <c r="B17" s="378" t="s">
        <v>371</v>
      </c>
      <c r="C17" s="379">
        <v>32503324</v>
      </c>
    </row>
  </sheetData>
  <mergeCells count="4">
    <mergeCell ref="A6:C6"/>
    <mergeCell ref="A1:C1"/>
    <mergeCell ref="A3:C3"/>
    <mergeCell ref="A4:C4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-76-1d622a-577-57-5b-3f111e-6d7b-65f5c42567614&amp;R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63"/>
  <sheetViews>
    <sheetView view="pageBreakPreview" zoomScale="80" zoomScaleNormal="100" zoomScaleSheetLayoutView="80" workbookViewId="0">
      <pane ySplit="7" topLeftCell="A8" activePane="bottomLeft" state="frozen"/>
      <selection pane="bottomLeft" activeCell="D12" sqref="D12"/>
    </sheetView>
  </sheetViews>
  <sheetFormatPr defaultRowHeight="12.75" x14ac:dyDescent="0.2"/>
  <cols>
    <col min="1" max="1" width="8.28515625" style="371" customWidth="1"/>
    <col min="2" max="2" width="41" style="371" customWidth="1"/>
    <col min="3" max="5" width="20.7109375" style="371" customWidth="1"/>
    <col min="6" max="256" width="8.85546875" style="371"/>
    <col min="257" max="257" width="8.28515625" style="371" customWidth="1"/>
    <col min="258" max="258" width="41" style="371" customWidth="1"/>
    <col min="259" max="261" width="32.7109375" style="371" customWidth="1"/>
    <col min="262" max="512" width="8.85546875" style="371"/>
    <col min="513" max="513" width="8.28515625" style="371" customWidth="1"/>
    <col min="514" max="514" width="41" style="371" customWidth="1"/>
    <col min="515" max="517" width="32.7109375" style="371" customWidth="1"/>
    <col min="518" max="768" width="8.85546875" style="371"/>
    <col min="769" max="769" width="8.28515625" style="371" customWidth="1"/>
    <col min="770" max="770" width="41" style="371" customWidth="1"/>
    <col min="771" max="773" width="32.7109375" style="371" customWidth="1"/>
    <col min="774" max="1024" width="8.85546875" style="371"/>
    <col min="1025" max="1025" width="8.28515625" style="371" customWidth="1"/>
    <col min="1026" max="1026" width="41" style="371" customWidth="1"/>
    <col min="1027" max="1029" width="32.7109375" style="371" customWidth="1"/>
    <col min="1030" max="1280" width="8.85546875" style="371"/>
    <col min="1281" max="1281" width="8.28515625" style="371" customWidth="1"/>
    <col min="1282" max="1282" width="41" style="371" customWidth="1"/>
    <col min="1283" max="1285" width="32.7109375" style="371" customWidth="1"/>
    <col min="1286" max="1536" width="8.85546875" style="371"/>
    <col min="1537" max="1537" width="8.28515625" style="371" customWidth="1"/>
    <col min="1538" max="1538" width="41" style="371" customWidth="1"/>
    <col min="1539" max="1541" width="32.7109375" style="371" customWidth="1"/>
    <col min="1542" max="1792" width="8.85546875" style="371"/>
    <col min="1793" max="1793" width="8.28515625" style="371" customWidth="1"/>
    <col min="1794" max="1794" width="41" style="371" customWidth="1"/>
    <col min="1795" max="1797" width="32.7109375" style="371" customWidth="1"/>
    <col min="1798" max="2048" width="8.85546875" style="371"/>
    <col min="2049" max="2049" width="8.28515625" style="371" customWidth="1"/>
    <col min="2050" max="2050" width="41" style="371" customWidth="1"/>
    <col min="2051" max="2053" width="32.7109375" style="371" customWidth="1"/>
    <col min="2054" max="2304" width="8.85546875" style="371"/>
    <col min="2305" max="2305" width="8.28515625" style="371" customWidth="1"/>
    <col min="2306" max="2306" width="41" style="371" customWidth="1"/>
    <col min="2307" max="2309" width="32.7109375" style="371" customWidth="1"/>
    <col min="2310" max="2560" width="8.85546875" style="371"/>
    <col min="2561" max="2561" width="8.28515625" style="371" customWidth="1"/>
    <col min="2562" max="2562" width="41" style="371" customWidth="1"/>
    <col min="2563" max="2565" width="32.7109375" style="371" customWidth="1"/>
    <col min="2566" max="2816" width="8.85546875" style="371"/>
    <col min="2817" max="2817" width="8.28515625" style="371" customWidth="1"/>
    <col min="2818" max="2818" width="41" style="371" customWidth="1"/>
    <col min="2819" max="2821" width="32.7109375" style="371" customWidth="1"/>
    <col min="2822" max="3072" width="8.85546875" style="371"/>
    <col min="3073" max="3073" width="8.28515625" style="371" customWidth="1"/>
    <col min="3074" max="3074" width="41" style="371" customWidth="1"/>
    <col min="3075" max="3077" width="32.7109375" style="371" customWidth="1"/>
    <col min="3078" max="3328" width="8.85546875" style="371"/>
    <col min="3329" max="3329" width="8.28515625" style="371" customWidth="1"/>
    <col min="3330" max="3330" width="41" style="371" customWidth="1"/>
    <col min="3331" max="3333" width="32.7109375" style="371" customWidth="1"/>
    <col min="3334" max="3584" width="8.85546875" style="371"/>
    <col min="3585" max="3585" width="8.28515625" style="371" customWidth="1"/>
    <col min="3586" max="3586" width="41" style="371" customWidth="1"/>
    <col min="3587" max="3589" width="32.7109375" style="371" customWidth="1"/>
    <col min="3590" max="3840" width="8.85546875" style="371"/>
    <col min="3841" max="3841" width="8.28515625" style="371" customWidth="1"/>
    <col min="3842" max="3842" width="41" style="371" customWidth="1"/>
    <col min="3843" max="3845" width="32.7109375" style="371" customWidth="1"/>
    <col min="3846" max="4096" width="8.85546875" style="371"/>
    <col min="4097" max="4097" width="8.28515625" style="371" customWidth="1"/>
    <col min="4098" max="4098" width="41" style="371" customWidth="1"/>
    <col min="4099" max="4101" width="32.7109375" style="371" customWidth="1"/>
    <col min="4102" max="4352" width="8.85546875" style="371"/>
    <col min="4353" max="4353" width="8.28515625" style="371" customWidth="1"/>
    <col min="4354" max="4354" width="41" style="371" customWidth="1"/>
    <col min="4355" max="4357" width="32.7109375" style="371" customWidth="1"/>
    <col min="4358" max="4608" width="8.85546875" style="371"/>
    <col min="4609" max="4609" width="8.28515625" style="371" customWidth="1"/>
    <col min="4610" max="4610" width="41" style="371" customWidth="1"/>
    <col min="4611" max="4613" width="32.7109375" style="371" customWidth="1"/>
    <col min="4614" max="4864" width="8.85546875" style="371"/>
    <col min="4865" max="4865" width="8.28515625" style="371" customWidth="1"/>
    <col min="4866" max="4866" width="41" style="371" customWidth="1"/>
    <col min="4867" max="4869" width="32.7109375" style="371" customWidth="1"/>
    <col min="4870" max="5120" width="8.85546875" style="371"/>
    <col min="5121" max="5121" width="8.28515625" style="371" customWidth="1"/>
    <col min="5122" max="5122" width="41" style="371" customWidth="1"/>
    <col min="5123" max="5125" width="32.7109375" style="371" customWidth="1"/>
    <col min="5126" max="5376" width="8.85546875" style="371"/>
    <col min="5377" max="5377" width="8.28515625" style="371" customWidth="1"/>
    <col min="5378" max="5378" width="41" style="371" customWidth="1"/>
    <col min="5379" max="5381" width="32.7109375" style="371" customWidth="1"/>
    <col min="5382" max="5632" width="8.85546875" style="371"/>
    <col min="5633" max="5633" width="8.28515625" style="371" customWidth="1"/>
    <col min="5634" max="5634" width="41" style="371" customWidth="1"/>
    <col min="5635" max="5637" width="32.7109375" style="371" customWidth="1"/>
    <col min="5638" max="5888" width="8.85546875" style="371"/>
    <col min="5889" max="5889" width="8.28515625" style="371" customWidth="1"/>
    <col min="5890" max="5890" width="41" style="371" customWidth="1"/>
    <col min="5891" max="5893" width="32.7109375" style="371" customWidth="1"/>
    <col min="5894" max="6144" width="8.85546875" style="371"/>
    <col min="6145" max="6145" width="8.28515625" style="371" customWidth="1"/>
    <col min="6146" max="6146" width="41" style="371" customWidth="1"/>
    <col min="6147" max="6149" width="32.7109375" style="371" customWidth="1"/>
    <col min="6150" max="6400" width="8.85546875" style="371"/>
    <col min="6401" max="6401" width="8.28515625" style="371" customWidth="1"/>
    <col min="6402" max="6402" width="41" style="371" customWidth="1"/>
    <col min="6403" max="6405" width="32.7109375" style="371" customWidth="1"/>
    <col min="6406" max="6656" width="8.85546875" style="371"/>
    <col min="6657" max="6657" width="8.28515625" style="371" customWidth="1"/>
    <col min="6658" max="6658" width="41" style="371" customWidth="1"/>
    <col min="6659" max="6661" width="32.7109375" style="371" customWidth="1"/>
    <col min="6662" max="6912" width="8.85546875" style="371"/>
    <col min="6913" max="6913" width="8.28515625" style="371" customWidth="1"/>
    <col min="6914" max="6914" width="41" style="371" customWidth="1"/>
    <col min="6915" max="6917" width="32.7109375" style="371" customWidth="1"/>
    <col min="6918" max="7168" width="8.85546875" style="371"/>
    <col min="7169" max="7169" width="8.28515625" style="371" customWidth="1"/>
    <col min="7170" max="7170" width="41" style="371" customWidth="1"/>
    <col min="7171" max="7173" width="32.7109375" style="371" customWidth="1"/>
    <col min="7174" max="7424" width="8.85546875" style="371"/>
    <col min="7425" max="7425" width="8.28515625" style="371" customWidth="1"/>
    <col min="7426" max="7426" width="41" style="371" customWidth="1"/>
    <col min="7427" max="7429" width="32.7109375" style="371" customWidth="1"/>
    <col min="7430" max="7680" width="8.85546875" style="371"/>
    <col min="7681" max="7681" width="8.28515625" style="371" customWidth="1"/>
    <col min="7682" max="7682" width="41" style="371" customWidth="1"/>
    <col min="7683" max="7685" width="32.7109375" style="371" customWidth="1"/>
    <col min="7686" max="7936" width="8.85546875" style="371"/>
    <col min="7937" max="7937" width="8.28515625" style="371" customWidth="1"/>
    <col min="7938" max="7938" width="41" style="371" customWidth="1"/>
    <col min="7939" max="7941" width="32.7109375" style="371" customWidth="1"/>
    <col min="7942" max="8192" width="8.85546875" style="371"/>
    <col min="8193" max="8193" width="8.28515625" style="371" customWidth="1"/>
    <col min="8194" max="8194" width="41" style="371" customWidth="1"/>
    <col min="8195" max="8197" width="32.7109375" style="371" customWidth="1"/>
    <col min="8198" max="8448" width="8.85546875" style="371"/>
    <col min="8449" max="8449" width="8.28515625" style="371" customWidth="1"/>
    <col min="8450" max="8450" width="41" style="371" customWidth="1"/>
    <col min="8451" max="8453" width="32.7109375" style="371" customWidth="1"/>
    <col min="8454" max="8704" width="8.85546875" style="371"/>
    <col min="8705" max="8705" width="8.28515625" style="371" customWidth="1"/>
    <col min="8706" max="8706" width="41" style="371" customWidth="1"/>
    <col min="8707" max="8709" width="32.7109375" style="371" customWidth="1"/>
    <col min="8710" max="8960" width="8.85546875" style="371"/>
    <col min="8961" max="8961" width="8.28515625" style="371" customWidth="1"/>
    <col min="8962" max="8962" width="41" style="371" customWidth="1"/>
    <col min="8963" max="8965" width="32.7109375" style="371" customWidth="1"/>
    <col min="8966" max="9216" width="8.85546875" style="371"/>
    <col min="9217" max="9217" width="8.28515625" style="371" customWidth="1"/>
    <col min="9218" max="9218" width="41" style="371" customWidth="1"/>
    <col min="9219" max="9221" width="32.7109375" style="371" customWidth="1"/>
    <col min="9222" max="9472" width="8.85546875" style="371"/>
    <col min="9473" max="9473" width="8.28515625" style="371" customWidth="1"/>
    <col min="9474" max="9474" width="41" style="371" customWidth="1"/>
    <col min="9475" max="9477" width="32.7109375" style="371" customWidth="1"/>
    <col min="9478" max="9728" width="8.85546875" style="371"/>
    <col min="9729" max="9729" width="8.28515625" style="371" customWidth="1"/>
    <col min="9730" max="9730" width="41" style="371" customWidth="1"/>
    <col min="9731" max="9733" width="32.7109375" style="371" customWidth="1"/>
    <col min="9734" max="9984" width="8.85546875" style="371"/>
    <col min="9985" max="9985" width="8.28515625" style="371" customWidth="1"/>
    <col min="9986" max="9986" width="41" style="371" customWidth="1"/>
    <col min="9987" max="9989" width="32.7109375" style="371" customWidth="1"/>
    <col min="9990" max="10240" width="8.85546875" style="371"/>
    <col min="10241" max="10241" width="8.28515625" style="371" customWidth="1"/>
    <col min="10242" max="10242" width="41" style="371" customWidth="1"/>
    <col min="10243" max="10245" width="32.7109375" style="371" customWidth="1"/>
    <col min="10246" max="10496" width="8.85546875" style="371"/>
    <col min="10497" max="10497" width="8.28515625" style="371" customWidth="1"/>
    <col min="10498" max="10498" width="41" style="371" customWidth="1"/>
    <col min="10499" max="10501" width="32.7109375" style="371" customWidth="1"/>
    <col min="10502" max="10752" width="8.85546875" style="371"/>
    <col min="10753" max="10753" width="8.28515625" style="371" customWidth="1"/>
    <col min="10754" max="10754" width="41" style="371" customWidth="1"/>
    <col min="10755" max="10757" width="32.7109375" style="371" customWidth="1"/>
    <col min="10758" max="11008" width="8.85546875" style="371"/>
    <col min="11009" max="11009" width="8.28515625" style="371" customWidth="1"/>
    <col min="11010" max="11010" width="41" style="371" customWidth="1"/>
    <col min="11011" max="11013" width="32.7109375" style="371" customWidth="1"/>
    <col min="11014" max="11264" width="8.85546875" style="371"/>
    <col min="11265" max="11265" width="8.28515625" style="371" customWidth="1"/>
    <col min="11266" max="11266" width="41" style="371" customWidth="1"/>
    <col min="11267" max="11269" width="32.7109375" style="371" customWidth="1"/>
    <col min="11270" max="11520" width="8.85546875" style="371"/>
    <col min="11521" max="11521" width="8.28515625" style="371" customWidth="1"/>
    <col min="11522" max="11522" width="41" style="371" customWidth="1"/>
    <col min="11523" max="11525" width="32.7109375" style="371" customWidth="1"/>
    <col min="11526" max="11776" width="8.85546875" style="371"/>
    <col min="11777" max="11777" width="8.28515625" style="371" customWidth="1"/>
    <col min="11778" max="11778" width="41" style="371" customWidth="1"/>
    <col min="11779" max="11781" width="32.7109375" style="371" customWidth="1"/>
    <col min="11782" max="12032" width="8.85546875" style="371"/>
    <col min="12033" max="12033" width="8.28515625" style="371" customWidth="1"/>
    <col min="12034" max="12034" width="41" style="371" customWidth="1"/>
    <col min="12035" max="12037" width="32.7109375" style="371" customWidth="1"/>
    <col min="12038" max="12288" width="8.85546875" style="371"/>
    <col min="12289" max="12289" width="8.28515625" style="371" customWidth="1"/>
    <col min="12290" max="12290" width="41" style="371" customWidth="1"/>
    <col min="12291" max="12293" width="32.7109375" style="371" customWidth="1"/>
    <col min="12294" max="12544" width="8.85546875" style="371"/>
    <col min="12545" max="12545" width="8.28515625" style="371" customWidth="1"/>
    <col min="12546" max="12546" width="41" style="371" customWidth="1"/>
    <col min="12547" max="12549" width="32.7109375" style="371" customWidth="1"/>
    <col min="12550" max="12800" width="8.85546875" style="371"/>
    <col min="12801" max="12801" width="8.28515625" style="371" customWidth="1"/>
    <col min="12802" max="12802" width="41" style="371" customWidth="1"/>
    <col min="12803" max="12805" width="32.7109375" style="371" customWidth="1"/>
    <col min="12806" max="13056" width="8.85546875" style="371"/>
    <col min="13057" max="13057" width="8.28515625" style="371" customWidth="1"/>
    <col min="13058" max="13058" width="41" style="371" customWidth="1"/>
    <col min="13059" max="13061" width="32.7109375" style="371" customWidth="1"/>
    <col min="13062" max="13312" width="8.85546875" style="371"/>
    <col min="13313" max="13313" width="8.28515625" style="371" customWidth="1"/>
    <col min="13314" max="13314" width="41" style="371" customWidth="1"/>
    <col min="13315" max="13317" width="32.7109375" style="371" customWidth="1"/>
    <col min="13318" max="13568" width="8.85546875" style="371"/>
    <col min="13569" max="13569" width="8.28515625" style="371" customWidth="1"/>
    <col min="13570" max="13570" width="41" style="371" customWidth="1"/>
    <col min="13571" max="13573" width="32.7109375" style="371" customWidth="1"/>
    <col min="13574" max="13824" width="8.85546875" style="371"/>
    <col min="13825" max="13825" width="8.28515625" style="371" customWidth="1"/>
    <col min="13826" max="13826" width="41" style="371" customWidth="1"/>
    <col min="13827" max="13829" width="32.7109375" style="371" customWidth="1"/>
    <col min="13830" max="14080" width="8.85546875" style="371"/>
    <col min="14081" max="14081" width="8.28515625" style="371" customWidth="1"/>
    <col min="14082" max="14082" width="41" style="371" customWidth="1"/>
    <col min="14083" max="14085" width="32.7109375" style="371" customWidth="1"/>
    <col min="14086" max="14336" width="8.85546875" style="371"/>
    <col min="14337" max="14337" width="8.28515625" style="371" customWidth="1"/>
    <col min="14338" max="14338" width="41" style="371" customWidth="1"/>
    <col min="14339" max="14341" width="32.7109375" style="371" customWidth="1"/>
    <col min="14342" max="14592" width="8.85546875" style="371"/>
    <col min="14593" max="14593" width="8.28515625" style="371" customWidth="1"/>
    <col min="14594" max="14594" width="41" style="371" customWidth="1"/>
    <col min="14595" max="14597" width="32.7109375" style="371" customWidth="1"/>
    <col min="14598" max="14848" width="8.85546875" style="371"/>
    <col min="14849" max="14849" width="8.28515625" style="371" customWidth="1"/>
    <col min="14850" max="14850" width="41" style="371" customWidth="1"/>
    <col min="14851" max="14853" width="32.7109375" style="371" customWidth="1"/>
    <col min="14854" max="15104" width="8.85546875" style="371"/>
    <col min="15105" max="15105" width="8.28515625" style="371" customWidth="1"/>
    <col min="15106" max="15106" width="41" style="371" customWidth="1"/>
    <col min="15107" max="15109" width="32.7109375" style="371" customWidth="1"/>
    <col min="15110" max="15360" width="8.85546875" style="371"/>
    <col min="15361" max="15361" width="8.28515625" style="371" customWidth="1"/>
    <col min="15362" max="15362" width="41" style="371" customWidth="1"/>
    <col min="15363" max="15365" width="32.7109375" style="371" customWidth="1"/>
    <col min="15366" max="15616" width="8.85546875" style="371"/>
    <col min="15617" max="15617" width="8.28515625" style="371" customWidth="1"/>
    <col min="15618" max="15618" width="41" style="371" customWidth="1"/>
    <col min="15619" max="15621" width="32.7109375" style="371" customWidth="1"/>
    <col min="15622" max="15872" width="8.85546875" style="371"/>
    <col min="15873" max="15873" width="8.28515625" style="371" customWidth="1"/>
    <col min="15874" max="15874" width="41" style="371" customWidth="1"/>
    <col min="15875" max="15877" width="32.7109375" style="371" customWidth="1"/>
    <col min="15878" max="16128" width="8.85546875" style="371"/>
    <col min="16129" max="16129" width="8.28515625" style="371" customWidth="1"/>
    <col min="16130" max="16130" width="41" style="371" customWidth="1"/>
    <col min="16131" max="16133" width="32.7109375" style="371" customWidth="1"/>
    <col min="16134" max="16384" width="8.85546875" style="371"/>
  </cols>
  <sheetData>
    <row r="1" spans="1:5" x14ac:dyDescent="0.2">
      <c r="A1" s="437" t="s">
        <v>505</v>
      </c>
      <c r="B1" s="418"/>
      <c r="C1" s="418"/>
      <c r="D1" s="418"/>
      <c r="E1" s="418"/>
    </row>
    <row r="2" spans="1:5" x14ac:dyDescent="0.2">
      <c r="A2" s="438" t="s">
        <v>0</v>
      </c>
      <c r="B2" s="439"/>
      <c r="C2" s="439"/>
      <c r="D2" s="439"/>
      <c r="E2" s="439"/>
    </row>
    <row r="3" spans="1:5" x14ac:dyDescent="0.2">
      <c r="A3" s="438" t="s">
        <v>506</v>
      </c>
      <c r="B3" s="439"/>
      <c r="C3" s="439"/>
      <c r="D3" s="439"/>
      <c r="E3" s="439"/>
    </row>
    <row r="4" spans="1:5" x14ac:dyDescent="0.2">
      <c r="A4" s="382"/>
      <c r="B4" s="83"/>
      <c r="C4" s="83"/>
      <c r="D4" s="83"/>
      <c r="E4" s="83"/>
    </row>
    <row r="5" spans="1:5" x14ac:dyDescent="0.2">
      <c r="A5" s="435" t="s">
        <v>393</v>
      </c>
      <c r="B5" s="436"/>
      <c r="C5" s="436"/>
      <c r="D5" s="436"/>
      <c r="E5" s="436"/>
    </row>
    <row r="6" spans="1:5" ht="15" x14ac:dyDescent="0.2">
      <c r="A6" s="389" t="s">
        <v>390</v>
      </c>
      <c r="B6" s="389" t="s">
        <v>280</v>
      </c>
      <c r="C6" s="389" t="s">
        <v>394</v>
      </c>
      <c r="D6" s="389" t="s">
        <v>395</v>
      </c>
      <c r="E6" s="389" t="s">
        <v>396</v>
      </c>
    </row>
    <row r="7" spans="1:5" ht="15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</row>
    <row r="8" spans="1:5" x14ac:dyDescent="0.2">
      <c r="A8" s="383" t="s">
        <v>386</v>
      </c>
      <c r="B8" s="384" t="s">
        <v>397</v>
      </c>
      <c r="C8" s="385">
        <v>600700</v>
      </c>
      <c r="D8" s="385">
        <v>0</v>
      </c>
      <c r="E8" s="385">
        <v>295779</v>
      </c>
    </row>
    <row r="9" spans="1:5" x14ac:dyDescent="0.2">
      <c r="A9" s="386" t="s">
        <v>382</v>
      </c>
      <c r="B9" s="387" t="s">
        <v>398</v>
      </c>
      <c r="C9" s="388">
        <v>600700</v>
      </c>
      <c r="D9" s="388">
        <v>0</v>
      </c>
      <c r="E9" s="388">
        <v>295779</v>
      </c>
    </row>
    <row r="10" spans="1:5" ht="25.5" x14ac:dyDescent="0.2">
      <c r="A10" s="383" t="s">
        <v>380</v>
      </c>
      <c r="B10" s="384" t="s">
        <v>399</v>
      </c>
      <c r="C10" s="385">
        <v>259926590</v>
      </c>
      <c r="D10" s="385">
        <v>0</v>
      </c>
      <c r="E10" s="385">
        <v>254528945</v>
      </c>
    </row>
    <row r="11" spans="1:5" ht="25.5" x14ac:dyDescent="0.2">
      <c r="A11" s="383" t="s">
        <v>378</v>
      </c>
      <c r="B11" s="384" t="s">
        <v>400</v>
      </c>
      <c r="C11" s="385">
        <v>3056682</v>
      </c>
      <c r="D11" s="385">
        <v>0</v>
      </c>
      <c r="E11" s="385">
        <v>4833949</v>
      </c>
    </row>
    <row r="12" spans="1:5" x14ac:dyDescent="0.2">
      <c r="A12" s="386" t="s">
        <v>401</v>
      </c>
      <c r="B12" s="387" t="s">
        <v>402</v>
      </c>
      <c r="C12" s="388">
        <v>262983272</v>
      </c>
      <c r="D12" s="388">
        <v>0</v>
      </c>
      <c r="E12" s="388">
        <v>259362894</v>
      </c>
    </row>
    <row r="13" spans="1:5" ht="25.5" x14ac:dyDescent="0.2">
      <c r="A13" s="383" t="s">
        <v>403</v>
      </c>
      <c r="B13" s="384" t="s">
        <v>404</v>
      </c>
      <c r="C13" s="385">
        <v>10000</v>
      </c>
      <c r="D13" s="385">
        <v>0</v>
      </c>
      <c r="E13" s="385">
        <v>10000</v>
      </c>
    </row>
    <row r="14" spans="1:5" ht="25.5" x14ac:dyDescent="0.2">
      <c r="A14" s="383" t="s">
        <v>405</v>
      </c>
      <c r="B14" s="384" t="s">
        <v>406</v>
      </c>
      <c r="C14" s="385">
        <v>0</v>
      </c>
      <c r="D14" s="385">
        <v>0</v>
      </c>
      <c r="E14" s="385">
        <v>10000</v>
      </c>
    </row>
    <row r="15" spans="1:5" x14ac:dyDescent="0.2">
      <c r="A15" s="383" t="s">
        <v>407</v>
      </c>
      <c r="B15" s="384" t="s">
        <v>408</v>
      </c>
      <c r="C15" s="385">
        <v>10000</v>
      </c>
      <c r="D15" s="385">
        <v>0</v>
      </c>
      <c r="E15" s="385">
        <v>0</v>
      </c>
    </row>
    <row r="16" spans="1:5" ht="25.5" x14ac:dyDescent="0.2">
      <c r="A16" s="386" t="s">
        <v>409</v>
      </c>
      <c r="B16" s="387" t="s">
        <v>410</v>
      </c>
      <c r="C16" s="388">
        <v>10000</v>
      </c>
      <c r="D16" s="388">
        <v>0</v>
      </c>
      <c r="E16" s="388">
        <v>10000</v>
      </c>
    </row>
    <row r="17" spans="1:5" ht="25.5" x14ac:dyDescent="0.2">
      <c r="A17" s="383" t="s">
        <v>411</v>
      </c>
      <c r="B17" s="384" t="s">
        <v>412</v>
      </c>
      <c r="C17" s="385">
        <v>11974990</v>
      </c>
      <c r="D17" s="385">
        <v>0</v>
      </c>
      <c r="E17" s="385">
        <v>11536880</v>
      </c>
    </row>
    <row r="18" spans="1:5" x14ac:dyDescent="0.2">
      <c r="A18" s="383" t="s">
        <v>413</v>
      </c>
      <c r="B18" s="384" t="s">
        <v>414</v>
      </c>
      <c r="C18" s="385">
        <v>11974990</v>
      </c>
      <c r="D18" s="385">
        <v>0</v>
      </c>
      <c r="E18" s="385">
        <v>11536880</v>
      </c>
    </row>
    <row r="19" spans="1:5" ht="25.5" x14ac:dyDescent="0.2">
      <c r="A19" s="386" t="s">
        <v>415</v>
      </c>
      <c r="B19" s="387" t="s">
        <v>416</v>
      </c>
      <c r="C19" s="388">
        <v>11974990</v>
      </c>
      <c r="D19" s="388">
        <v>0</v>
      </c>
      <c r="E19" s="388">
        <v>11536880</v>
      </c>
    </row>
    <row r="20" spans="1:5" ht="38.25" x14ac:dyDescent="0.2">
      <c r="A20" s="386" t="s">
        <v>417</v>
      </c>
      <c r="B20" s="387" t="s">
        <v>418</v>
      </c>
      <c r="C20" s="388">
        <v>275568962</v>
      </c>
      <c r="D20" s="388">
        <v>0</v>
      </c>
      <c r="E20" s="388">
        <v>271205553</v>
      </c>
    </row>
    <row r="21" spans="1:5" x14ac:dyDescent="0.2">
      <c r="A21" s="383" t="s">
        <v>419</v>
      </c>
      <c r="B21" s="384" t="s">
        <v>420</v>
      </c>
      <c r="C21" s="385">
        <v>380845</v>
      </c>
      <c r="D21" s="385">
        <v>0</v>
      </c>
      <c r="E21" s="385">
        <v>422150</v>
      </c>
    </row>
    <row r="22" spans="1:5" ht="25.5" x14ac:dyDescent="0.2">
      <c r="A22" s="386" t="s">
        <v>421</v>
      </c>
      <c r="B22" s="387" t="s">
        <v>422</v>
      </c>
      <c r="C22" s="388">
        <v>380845</v>
      </c>
      <c r="D22" s="388">
        <v>0</v>
      </c>
      <c r="E22" s="388">
        <v>422150</v>
      </c>
    </row>
    <row r="23" spans="1:5" x14ac:dyDescent="0.2">
      <c r="A23" s="383" t="s">
        <v>423</v>
      </c>
      <c r="B23" s="384" t="s">
        <v>424</v>
      </c>
      <c r="C23" s="385">
        <v>27678388</v>
      </c>
      <c r="D23" s="385">
        <v>0</v>
      </c>
      <c r="E23" s="385">
        <v>33179501</v>
      </c>
    </row>
    <row r="24" spans="1:5" x14ac:dyDescent="0.2">
      <c r="A24" s="386" t="s">
        <v>425</v>
      </c>
      <c r="B24" s="387" t="s">
        <v>426</v>
      </c>
      <c r="C24" s="388">
        <v>27678388</v>
      </c>
      <c r="D24" s="388">
        <v>0</v>
      </c>
      <c r="E24" s="388">
        <v>33179501</v>
      </c>
    </row>
    <row r="25" spans="1:5" x14ac:dyDescent="0.2">
      <c r="A25" s="386" t="s">
        <v>427</v>
      </c>
      <c r="B25" s="387" t="s">
        <v>428</v>
      </c>
      <c r="C25" s="388">
        <v>28059233</v>
      </c>
      <c r="D25" s="388">
        <v>0</v>
      </c>
      <c r="E25" s="388">
        <v>33601651</v>
      </c>
    </row>
    <row r="26" spans="1:5" ht="38.25" x14ac:dyDescent="0.2">
      <c r="A26" s="383" t="s">
        <v>429</v>
      </c>
      <c r="B26" s="384" t="s">
        <v>430</v>
      </c>
      <c r="C26" s="385">
        <v>2416297</v>
      </c>
      <c r="D26" s="385">
        <v>0</v>
      </c>
      <c r="E26" s="385">
        <v>2969886</v>
      </c>
    </row>
    <row r="27" spans="1:5" ht="25.5" x14ac:dyDescent="0.2">
      <c r="A27" s="383" t="s">
        <v>431</v>
      </c>
      <c r="B27" s="384" t="s">
        <v>432</v>
      </c>
      <c r="C27" s="385">
        <v>734259</v>
      </c>
      <c r="D27" s="385">
        <v>0</v>
      </c>
      <c r="E27" s="385">
        <v>1856166</v>
      </c>
    </row>
    <row r="28" spans="1:5" ht="25.5" x14ac:dyDescent="0.2">
      <c r="A28" s="383" t="s">
        <v>433</v>
      </c>
      <c r="B28" s="384" t="s">
        <v>434</v>
      </c>
      <c r="C28" s="385">
        <v>1367270</v>
      </c>
      <c r="D28" s="385">
        <v>0</v>
      </c>
      <c r="E28" s="385">
        <v>668154</v>
      </c>
    </row>
    <row r="29" spans="1:5" ht="25.5" x14ac:dyDescent="0.2">
      <c r="A29" s="383" t="s">
        <v>435</v>
      </c>
      <c r="B29" s="384" t="s">
        <v>436</v>
      </c>
      <c r="C29" s="385">
        <v>314768</v>
      </c>
      <c r="D29" s="385">
        <v>0</v>
      </c>
      <c r="E29" s="385">
        <v>445566</v>
      </c>
    </row>
    <row r="30" spans="1:5" ht="38.25" x14ac:dyDescent="0.2">
      <c r="A30" s="383" t="s">
        <v>437</v>
      </c>
      <c r="B30" s="384" t="s">
        <v>438</v>
      </c>
      <c r="C30" s="385">
        <v>168921</v>
      </c>
      <c r="D30" s="385">
        <v>0</v>
      </c>
      <c r="E30" s="385">
        <v>246249</v>
      </c>
    </row>
    <row r="31" spans="1:5" ht="51" x14ac:dyDescent="0.2">
      <c r="A31" s="383" t="s">
        <v>439</v>
      </c>
      <c r="B31" s="384" t="s">
        <v>440</v>
      </c>
      <c r="C31" s="385">
        <v>75074</v>
      </c>
      <c r="D31" s="385">
        <v>0</v>
      </c>
      <c r="E31" s="385">
        <v>152404</v>
      </c>
    </row>
    <row r="32" spans="1:5" ht="25.5" x14ac:dyDescent="0.2">
      <c r="A32" s="383" t="s">
        <v>441</v>
      </c>
      <c r="B32" s="384" t="s">
        <v>442</v>
      </c>
      <c r="C32" s="385">
        <v>93845</v>
      </c>
      <c r="D32" s="385">
        <v>0</v>
      </c>
      <c r="E32" s="385">
        <v>93845</v>
      </c>
    </row>
    <row r="33" spans="1:5" ht="25.5" x14ac:dyDescent="0.2">
      <c r="A33" s="383" t="s">
        <v>443</v>
      </c>
      <c r="B33" s="384" t="s">
        <v>444</v>
      </c>
      <c r="C33" s="385">
        <v>2</v>
      </c>
      <c r="D33" s="385">
        <v>0</v>
      </c>
      <c r="E33" s="385">
        <v>0</v>
      </c>
    </row>
    <row r="34" spans="1:5" ht="25.5" x14ac:dyDescent="0.2">
      <c r="A34" s="386" t="s">
        <v>445</v>
      </c>
      <c r="B34" s="387" t="s">
        <v>446</v>
      </c>
      <c r="C34" s="388">
        <v>2585218</v>
      </c>
      <c r="D34" s="388">
        <v>0</v>
      </c>
      <c r="E34" s="388">
        <v>3216135</v>
      </c>
    </row>
    <row r="35" spans="1:5" x14ac:dyDescent="0.2">
      <c r="A35" s="383" t="s">
        <v>447</v>
      </c>
      <c r="B35" s="384" t="s">
        <v>448</v>
      </c>
      <c r="C35" s="385">
        <v>138163</v>
      </c>
      <c r="D35" s="385">
        <v>0</v>
      </c>
      <c r="E35" s="385">
        <v>0</v>
      </c>
    </row>
    <row r="36" spans="1:5" ht="25.5" x14ac:dyDescent="0.2">
      <c r="A36" s="383" t="s">
        <v>449</v>
      </c>
      <c r="B36" s="384" t="s">
        <v>450</v>
      </c>
      <c r="C36" s="385">
        <v>138163</v>
      </c>
      <c r="D36" s="385">
        <v>0</v>
      </c>
      <c r="E36" s="385">
        <v>0</v>
      </c>
    </row>
    <row r="37" spans="1:5" x14ac:dyDescent="0.2">
      <c r="A37" s="383" t="s">
        <v>451</v>
      </c>
      <c r="B37" s="384" t="s">
        <v>452</v>
      </c>
      <c r="C37" s="385">
        <v>55000</v>
      </c>
      <c r="D37" s="385">
        <v>0</v>
      </c>
      <c r="E37" s="385">
        <v>105000</v>
      </c>
    </row>
    <row r="38" spans="1:5" ht="25.5" x14ac:dyDescent="0.2">
      <c r="A38" s="386" t="s">
        <v>453</v>
      </c>
      <c r="B38" s="387" t="s">
        <v>454</v>
      </c>
      <c r="C38" s="388">
        <v>193163</v>
      </c>
      <c r="D38" s="388">
        <v>0</v>
      </c>
      <c r="E38" s="388">
        <v>105000</v>
      </c>
    </row>
    <row r="39" spans="1:5" x14ac:dyDescent="0.2">
      <c r="A39" s="386" t="s">
        <v>455</v>
      </c>
      <c r="B39" s="387" t="s">
        <v>456</v>
      </c>
      <c r="C39" s="388">
        <v>2778381</v>
      </c>
      <c r="D39" s="388">
        <v>0</v>
      </c>
      <c r="E39" s="388">
        <v>3321135</v>
      </c>
    </row>
    <row r="40" spans="1:5" ht="25.5" x14ac:dyDescent="0.2">
      <c r="A40" s="383" t="s">
        <v>457</v>
      </c>
      <c r="B40" s="384" t="s">
        <v>458</v>
      </c>
      <c r="C40" s="385">
        <v>0</v>
      </c>
      <c r="D40" s="385">
        <v>0</v>
      </c>
      <c r="E40" s="385">
        <v>13132</v>
      </c>
    </row>
    <row r="41" spans="1:5" ht="25.5" x14ac:dyDescent="0.2">
      <c r="A41" s="383" t="s">
        <v>459</v>
      </c>
      <c r="B41" s="384" t="s">
        <v>460</v>
      </c>
      <c r="C41" s="385">
        <v>0</v>
      </c>
      <c r="D41" s="385">
        <v>0</v>
      </c>
      <c r="E41" s="385">
        <v>3066073</v>
      </c>
    </row>
    <row r="42" spans="1:5" ht="25.5" x14ac:dyDescent="0.2">
      <c r="A42" s="386" t="s">
        <v>461</v>
      </c>
      <c r="B42" s="387" t="s">
        <v>462</v>
      </c>
      <c r="C42" s="388">
        <v>0</v>
      </c>
      <c r="D42" s="388">
        <v>0</v>
      </c>
      <c r="E42" s="388">
        <v>3079205</v>
      </c>
    </row>
    <row r="43" spans="1:5" ht="25.5" x14ac:dyDescent="0.2">
      <c r="A43" s="386" t="s">
        <v>463</v>
      </c>
      <c r="B43" s="387" t="s">
        <v>464</v>
      </c>
      <c r="C43" s="388">
        <v>0</v>
      </c>
      <c r="D43" s="388">
        <v>0</v>
      </c>
      <c r="E43" s="388">
        <v>3079205</v>
      </c>
    </row>
    <row r="44" spans="1:5" x14ac:dyDescent="0.2">
      <c r="A44" s="386" t="s">
        <v>465</v>
      </c>
      <c r="B44" s="387" t="s">
        <v>466</v>
      </c>
      <c r="C44" s="388">
        <v>306406576</v>
      </c>
      <c r="D44" s="388">
        <v>0</v>
      </c>
      <c r="E44" s="388">
        <v>311207544</v>
      </c>
    </row>
    <row r="45" spans="1:5" x14ac:dyDescent="0.2">
      <c r="A45" s="383" t="s">
        <v>467</v>
      </c>
      <c r="B45" s="384" t="s">
        <v>468</v>
      </c>
      <c r="C45" s="385">
        <v>114112251</v>
      </c>
      <c r="D45" s="385">
        <v>0</v>
      </c>
      <c r="E45" s="385">
        <v>114112251</v>
      </c>
    </row>
    <row r="46" spans="1:5" x14ac:dyDescent="0.2">
      <c r="A46" s="383" t="s">
        <v>469</v>
      </c>
      <c r="B46" s="384" t="s">
        <v>470</v>
      </c>
      <c r="C46" s="385">
        <v>-1</v>
      </c>
      <c r="D46" s="385">
        <v>0</v>
      </c>
      <c r="E46" s="385">
        <v>-1</v>
      </c>
    </row>
    <row r="47" spans="1:5" ht="25.5" x14ac:dyDescent="0.2">
      <c r="A47" s="383" t="s">
        <v>471</v>
      </c>
      <c r="B47" s="384" t="s">
        <v>472</v>
      </c>
      <c r="C47" s="385">
        <v>3630015</v>
      </c>
      <c r="D47" s="385">
        <v>0</v>
      </c>
      <c r="E47" s="385">
        <v>3630015</v>
      </c>
    </row>
    <row r="48" spans="1:5" x14ac:dyDescent="0.2">
      <c r="A48" s="383" t="s">
        <v>473</v>
      </c>
      <c r="B48" s="384" t="s">
        <v>474</v>
      </c>
      <c r="C48" s="385">
        <v>183174600</v>
      </c>
      <c r="D48" s="385">
        <v>0</v>
      </c>
      <c r="E48" s="385">
        <v>184922082</v>
      </c>
    </row>
    <row r="49" spans="1:5" x14ac:dyDescent="0.2">
      <c r="A49" s="383" t="s">
        <v>475</v>
      </c>
      <c r="B49" s="384" t="s">
        <v>476</v>
      </c>
      <c r="C49" s="385">
        <v>1747482</v>
      </c>
      <c r="D49" s="385">
        <v>0</v>
      </c>
      <c r="E49" s="385">
        <v>4424627</v>
      </c>
    </row>
    <row r="50" spans="1:5" x14ac:dyDescent="0.2">
      <c r="A50" s="386" t="s">
        <v>477</v>
      </c>
      <c r="B50" s="387" t="s">
        <v>478</v>
      </c>
      <c r="C50" s="388">
        <v>302664347</v>
      </c>
      <c r="D50" s="388">
        <v>0</v>
      </c>
      <c r="E50" s="388">
        <v>307088974</v>
      </c>
    </row>
    <row r="51" spans="1:5" ht="25.5" x14ac:dyDescent="0.2">
      <c r="A51" s="383" t="s">
        <v>479</v>
      </c>
      <c r="B51" s="384" t="s">
        <v>480</v>
      </c>
      <c r="C51" s="385">
        <v>257329</v>
      </c>
      <c r="D51" s="385">
        <v>0</v>
      </c>
      <c r="E51" s="385">
        <v>38824</v>
      </c>
    </row>
    <row r="52" spans="1:5" ht="25.5" x14ac:dyDescent="0.2">
      <c r="A52" s="383" t="s">
        <v>481</v>
      </c>
      <c r="B52" s="384" t="s">
        <v>482</v>
      </c>
      <c r="C52" s="385">
        <v>550000</v>
      </c>
      <c r="D52" s="385">
        <v>0</v>
      </c>
      <c r="E52" s="385">
        <v>550000</v>
      </c>
    </row>
    <row r="53" spans="1:5" ht="25.5" x14ac:dyDescent="0.2">
      <c r="A53" s="386" t="s">
        <v>483</v>
      </c>
      <c r="B53" s="387" t="s">
        <v>484</v>
      </c>
      <c r="C53" s="388">
        <v>807329</v>
      </c>
      <c r="D53" s="388">
        <v>0</v>
      </c>
      <c r="E53" s="388">
        <v>588824</v>
      </c>
    </row>
    <row r="54" spans="1:5" ht="38.25" x14ac:dyDescent="0.2">
      <c r="A54" s="383" t="s">
        <v>485</v>
      </c>
      <c r="B54" s="384" t="s">
        <v>486</v>
      </c>
      <c r="C54" s="385">
        <v>1613610</v>
      </c>
      <c r="D54" s="385">
        <v>0</v>
      </c>
      <c r="E54" s="385">
        <v>1911217</v>
      </c>
    </row>
    <row r="55" spans="1:5" ht="38.25" x14ac:dyDescent="0.2">
      <c r="A55" s="383" t="s">
        <v>487</v>
      </c>
      <c r="B55" s="384" t="s">
        <v>488</v>
      </c>
      <c r="C55" s="385">
        <v>1613610</v>
      </c>
      <c r="D55" s="385">
        <v>0</v>
      </c>
      <c r="E55" s="385">
        <v>1911217</v>
      </c>
    </row>
    <row r="56" spans="1:5" ht="25.5" x14ac:dyDescent="0.2">
      <c r="A56" s="386" t="s">
        <v>489</v>
      </c>
      <c r="B56" s="387" t="s">
        <v>490</v>
      </c>
      <c r="C56" s="388">
        <v>1613610</v>
      </c>
      <c r="D56" s="388">
        <v>0</v>
      </c>
      <c r="E56" s="388">
        <v>1911217</v>
      </c>
    </row>
    <row r="57" spans="1:5" x14ac:dyDescent="0.2">
      <c r="A57" s="383" t="s">
        <v>491</v>
      </c>
      <c r="B57" s="384" t="s">
        <v>492</v>
      </c>
      <c r="C57" s="385">
        <v>18009</v>
      </c>
      <c r="D57" s="385">
        <v>0</v>
      </c>
      <c r="E57" s="385">
        <v>123455</v>
      </c>
    </row>
    <row r="58" spans="1:5" ht="25.5" x14ac:dyDescent="0.2">
      <c r="A58" s="383" t="s">
        <v>493</v>
      </c>
      <c r="B58" s="384" t="s">
        <v>494</v>
      </c>
      <c r="C58" s="385">
        <v>14676</v>
      </c>
      <c r="D58" s="385">
        <v>0</v>
      </c>
      <c r="E58" s="385">
        <v>135837</v>
      </c>
    </row>
    <row r="59" spans="1:5" ht="25.5" x14ac:dyDescent="0.2">
      <c r="A59" s="386" t="s">
        <v>495</v>
      </c>
      <c r="B59" s="387" t="s">
        <v>496</v>
      </c>
      <c r="C59" s="388">
        <v>32685</v>
      </c>
      <c r="D59" s="388">
        <v>0</v>
      </c>
      <c r="E59" s="388">
        <v>259292</v>
      </c>
    </row>
    <row r="60" spans="1:5" x14ac:dyDescent="0.2">
      <c r="A60" s="386" t="s">
        <v>497</v>
      </c>
      <c r="B60" s="387" t="s">
        <v>498</v>
      </c>
      <c r="C60" s="388">
        <v>2453624</v>
      </c>
      <c r="D60" s="388">
        <v>0</v>
      </c>
      <c r="E60" s="388">
        <v>2759333</v>
      </c>
    </row>
    <row r="61" spans="1:5" ht="25.5" x14ac:dyDescent="0.2">
      <c r="A61" s="383" t="s">
        <v>499</v>
      </c>
      <c r="B61" s="384" t="s">
        <v>500</v>
      </c>
      <c r="C61" s="385">
        <v>1288605</v>
      </c>
      <c r="D61" s="385">
        <v>0</v>
      </c>
      <c r="E61" s="385">
        <v>1359237</v>
      </c>
    </row>
    <row r="62" spans="1:5" ht="25.5" x14ac:dyDescent="0.2">
      <c r="A62" s="386" t="s">
        <v>501</v>
      </c>
      <c r="B62" s="387" t="s">
        <v>502</v>
      </c>
      <c r="C62" s="388">
        <v>1288605</v>
      </c>
      <c r="D62" s="388">
        <v>0</v>
      </c>
      <c r="E62" s="388">
        <v>1359237</v>
      </c>
    </row>
    <row r="63" spans="1:5" x14ac:dyDescent="0.2">
      <c r="A63" s="386" t="s">
        <v>503</v>
      </c>
      <c r="B63" s="387" t="s">
        <v>504</v>
      </c>
      <c r="C63" s="388">
        <v>306406576</v>
      </c>
      <c r="D63" s="388">
        <v>0</v>
      </c>
      <c r="E63" s="388">
        <v>311207544</v>
      </c>
    </row>
  </sheetData>
  <mergeCells count="4">
    <mergeCell ref="A5:E5"/>
    <mergeCell ref="A1:E1"/>
    <mergeCell ref="A3:E3"/>
    <mergeCell ref="A2:E2"/>
  </mergeCells>
  <pageMargins left="0.75" right="0.75" top="1" bottom="1" header="0.5" footer="0.5"/>
  <pageSetup scale="80" orientation="portrait" horizontalDpi="300" verticalDpi="300" r:id="rId1"/>
  <headerFooter alignWithMargins="0">
    <oddHeader>&amp;C&amp;L&amp;RÉrték típus: Forint</oddHeader>
    <oddFooter>&amp;C&amp;LAdatellenőrző kód: -76-1d622a-577-57-5b-3f111e-6d7b-65f5c42567614&amp;R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1"/>
  <sheetViews>
    <sheetView view="pageBreakPreview" zoomScale="80" zoomScaleNormal="100" zoomScaleSheetLayoutView="80" workbookViewId="0">
      <pane ySplit="6" topLeftCell="A7" activePane="bottomLeft" state="frozen"/>
      <selection pane="bottomLeft" activeCell="D14" sqref="D14"/>
    </sheetView>
  </sheetViews>
  <sheetFormatPr defaultRowHeight="12.75" x14ac:dyDescent="0.2"/>
  <cols>
    <col min="1" max="1" width="8.28515625" style="371" customWidth="1"/>
    <col min="2" max="2" width="41" style="371" customWidth="1"/>
    <col min="3" max="5" width="20.7109375" style="371" customWidth="1"/>
    <col min="6" max="256" width="8.85546875" style="371"/>
    <col min="257" max="257" width="8.28515625" style="371" customWidth="1"/>
    <col min="258" max="258" width="41" style="371" customWidth="1"/>
    <col min="259" max="261" width="32.7109375" style="371" customWidth="1"/>
    <col min="262" max="512" width="8.85546875" style="371"/>
    <col min="513" max="513" width="8.28515625" style="371" customWidth="1"/>
    <col min="514" max="514" width="41" style="371" customWidth="1"/>
    <col min="515" max="517" width="32.7109375" style="371" customWidth="1"/>
    <col min="518" max="768" width="8.85546875" style="371"/>
    <col min="769" max="769" width="8.28515625" style="371" customWidth="1"/>
    <col min="770" max="770" width="41" style="371" customWidth="1"/>
    <col min="771" max="773" width="32.7109375" style="371" customWidth="1"/>
    <col min="774" max="1024" width="8.85546875" style="371"/>
    <col min="1025" max="1025" width="8.28515625" style="371" customWidth="1"/>
    <col min="1026" max="1026" width="41" style="371" customWidth="1"/>
    <col min="1027" max="1029" width="32.7109375" style="371" customWidth="1"/>
    <col min="1030" max="1280" width="8.85546875" style="371"/>
    <col min="1281" max="1281" width="8.28515625" style="371" customWidth="1"/>
    <col min="1282" max="1282" width="41" style="371" customWidth="1"/>
    <col min="1283" max="1285" width="32.7109375" style="371" customWidth="1"/>
    <col min="1286" max="1536" width="8.85546875" style="371"/>
    <col min="1537" max="1537" width="8.28515625" style="371" customWidth="1"/>
    <col min="1538" max="1538" width="41" style="371" customWidth="1"/>
    <col min="1539" max="1541" width="32.7109375" style="371" customWidth="1"/>
    <col min="1542" max="1792" width="8.85546875" style="371"/>
    <col min="1793" max="1793" width="8.28515625" style="371" customWidth="1"/>
    <col min="1794" max="1794" width="41" style="371" customWidth="1"/>
    <col min="1795" max="1797" width="32.7109375" style="371" customWidth="1"/>
    <col min="1798" max="2048" width="8.85546875" style="371"/>
    <col min="2049" max="2049" width="8.28515625" style="371" customWidth="1"/>
    <col min="2050" max="2050" width="41" style="371" customWidth="1"/>
    <col min="2051" max="2053" width="32.7109375" style="371" customWidth="1"/>
    <col min="2054" max="2304" width="8.85546875" style="371"/>
    <col min="2305" max="2305" width="8.28515625" style="371" customWidth="1"/>
    <col min="2306" max="2306" width="41" style="371" customWidth="1"/>
    <col min="2307" max="2309" width="32.7109375" style="371" customWidth="1"/>
    <col min="2310" max="2560" width="8.85546875" style="371"/>
    <col min="2561" max="2561" width="8.28515625" style="371" customWidth="1"/>
    <col min="2562" max="2562" width="41" style="371" customWidth="1"/>
    <col min="2563" max="2565" width="32.7109375" style="371" customWidth="1"/>
    <col min="2566" max="2816" width="8.85546875" style="371"/>
    <col min="2817" max="2817" width="8.28515625" style="371" customWidth="1"/>
    <col min="2818" max="2818" width="41" style="371" customWidth="1"/>
    <col min="2819" max="2821" width="32.7109375" style="371" customWidth="1"/>
    <col min="2822" max="3072" width="8.85546875" style="371"/>
    <col min="3073" max="3073" width="8.28515625" style="371" customWidth="1"/>
    <col min="3074" max="3074" width="41" style="371" customWidth="1"/>
    <col min="3075" max="3077" width="32.7109375" style="371" customWidth="1"/>
    <col min="3078" max="3328" width="8.85546875" style="371"/>
    <col min="3329" max="3329" width="8.28515625" style="371" customWidth="1"/>
    <col min="3330" max="3330" width="41" style="371" customWidth="1"/>
    <col min="3331" max="3333" width="32.7109375" style="371" customWidth="1"/>
    <col min="3334" max="3584" width="8.85546875" style="371"/>
    <col min="3585" max="3585" width="8.28515625" style="371" customWidth="1"/>
    <col min="3586" max="3586" width="41" style="371" customWidth="1"/>
    <col min="3587" max="3589" width="32.7109375" style="371" customWidth="1"/>
    <col min="3590" max="3840" width="8.85546875" style="371"/>
    <col min="3841" max="3841" width="8.28515625" style="371" customWidth="1"/>
    <col min="3842" max="3842" width="41" style="371" customWidth="1"/>
    <col min="3843" max="3845" width="32.7109375" style="371" customWidth="1"/>
    <col min="3846" max="4096" width="8.85546875" style="371"/>
    <col min="4097" max="4097" width="8.28515625" style="371" customWidth="1"/>
    <col min="4098" max="4098" width="41" style="371" customWidth="1"/>
    <col min="4099" max="4101" width="32.7109375" style="371" customWidth="1"/>
    <col min="4102" max="4352" width="8.85546875" style="371"/>
    <col min="4353" max="4353" width="8.28515625" style="371" customWidth="1"/>
    <col min="4354" max="4354" width="41" style="371" customWidth="1"/>
    <col min="4355" max="4357" width="32.7109375" style="371" customWidth="1"/>
    <col min="4358" max="4608" width="8.85546875" style="371"/>
    <col min="4609" max="4609" width="8.28515625" style="371" customWidth="1"/>
    <col min="4610" max="4610" width="41" style="371" customWidth="1"/>
    <col min="4611" max="4613" width="32.7109375" style="371" customWidth="1"/>
    <col min="4614" max="4864" width="8.85546875" style="371"/>
    <col min="4865" max="4865" width="8.28515625" style="371" customWidth="1"/>
    <col min="4866" max="4866" width="41" style="371" customWidth="1"/>
    <col min="4867" max="4869" width="32.7109375" style="371" customWidth="1"/>
    <col min="4870" max="5120" width="8.85546875" style="371"/>
    <col min="5121" max="5121" width="8.28515625" style="371" customWidth="1"/>
    <col min="5122" max="5122" width="41" style="371" customWidth="1"/>
    <col min="5123" max="5125" width="32.7109375" style="371" customWidth="1"/>
    <col min="5126" max="5376" width="8.85546875" style="371"/>
    <col min="5377" max="5377" width="8.28515625" style="371" customWidth="1"/>
    <col min="5378" max="5378" width="41" style="371" customWidth="1"/>
    <col min="5379" max="5381" width="32.7109375" style="371" customWidth="1"/>
    <col min="5382" max="5632" width="8.85546875" style="371"/>
    <col min="5633" max="5633" width="8.28515625" style="371" customWidth="1"/>
    <col min="5634" max="5634" width="41" style="371" customWidth="1"/>
    <col min="5635" max="5637" width="32.7109375" style="371" customWidth="1"/>
    <col min="5638" max="5888" width="8.85546875" style="371"/>
    <col min="5889" max="5889" width="8.28515625" style="371" customWidth="1"/>
    <col min="5890" max="5890" width="41" style="371" customWidth="1"/>
    <col min="5891" max="5893" width="32.7109375" style="371" customWidth="1"/>
    <col min="5894" max="6144" width="8.85546875" style="371"/>
    <col min="6145" max="6145" width="8.28515625" style="371" customWidth="1"/>
    <col min="6146" max="6146" width="41" style="371" customWidth="1"/>
    <col min="6147" max="6149" width="32.7109375" style="371" customWidth="1"/>
    <col min="6150" max="6400" width="8.85546875" style="371"/>
    <col min="6401" max="6401" width="8.28515625" style="371" customWidth="1"/>
    <col min="6402" max="6402" width="41" style="371" customWidth="1"/>
    <col min="6403" max="6405" width="32.7109375" style="371" customWidth="1"/>
    <col min="6406" max="6656" width="8.85546875" style="371"/>
    <col min="6657" max="6657" width="8.28515625" style="371" customWidth="1"/>
    <col min="6658" max="6658" width="41" style="371" customWidth="1"/>
    <col min="6659" max="6661" width="32.7109375" style="371" customWidth="1"/>
    <col min="6662" max="6912" width="8.85546875" style="371"/>
    <col min="6913" max="6913" width="8.28515625" style="371" customWidth="1"/>
    <col min="6914" max="6914" width="41" style="371" customWidth="1"/>
    <col min="6915" max="6917" width="32.7109375" style="371" customWidth="1"/>
    <col min="6918" max="7168" width="8.85546875" style="371"/>
    <col min="7169" max="7169" width="8.28515625" style="371" customWidth="1"/>
    <col min="7170" max="7170" width="41" style="371" customWidth="1"/>
    <col min="7171" max="7173" width="32.7109375" style="371" customWidth="1"/>
    <col min="7174" max="7424" width="8.85546875" style="371"/>
    <col min="7425" max="7425" width="8.28515625" style="371" customWidth="1"/>
    <col min="7426" max="7426" width="41" style="371" customWidth="1"/>
    <col min="7427" max="7429" width="32.7109375" style="371" customWidth="1"/>
    <col min="7430" max="7680" width="8.85546875" style="371"/>
    <col min="7681" max="7681" width="8.28515625" style="371" customWidth="1"/>
    <col min="7682" max="7682" width="41" style="371" customWidth="1"/>
    <col min="7683" max="7685" width="32.7109375" style="371" customWidth="1"/>
    <col min="7686" max="7936" width="8.85546875" style="371"/>
    <col min="7937" max="7937" width="8.28515625" style="371" customWidth="1"/>
    <col min="7938" max="7938" width="41" style="371" customWidth="1"/>
    <col min="7939" max="7941" width="32.7109375" style="371" customWidth="1"/>
    <col min="7942" max="8192" width="8.85546875" style="371"/>
    <col min="8193" max="8193" width="8.28515625" style="371" customWidth="1"/>
    <col min="8194" max="8194" width="41" style="371" customWidth="1"/>
    <col min="8195" max="8197" width="32.7109375" style="371" customWidth="1"/>
    <col min="8198" max="8448" width="8.85546875" style="371"/>
    <col min="8449" max="8449" width="8.28515625" style="371" customWidth="1"/>
    <col min="8450" max="8450" width="41" style="371" customWidth="1"/>
    <col min="8451" max="8453" width="32.7109375" style="371" customWidth="1"/>
    <col min="8454" max="8704" width="8.85546875" style="371"/>
    <col min="8705" max="8705" width="8.28515625" style="371" customWidth="1"/>
    <col min="8706" max="8706" width="41" style="371" customWidth="1"/>
    <col min="8707" max="8709" width="32.7109375" style="371" customWidth="1"/>
    <col min="8710" max="8960" width="8.85546875" style="371"/>
    <col min="8961" max="8961" width="8.28515625" style="371" customWidth="1"/>
    <col min="8962" max="8962" width="41" style="371" customWidth="1"/>
    <col min="8963" max="8965" width="32.7109375" style="371" customWidth="1"/>
    <col min="8966" max="9216" width="8.85546875" style="371"/>
    <col min="9217" max="9217" width="8.28515625" style="371" customWidth="1"/>
    <col min="9218" max="9218" width="41" style="371" customWidth="1"/>
    <col min="9219" max="9221" width="32.7109375" style="371" customWidth="1"/>
    <col min="9222" max="9472" width="8.85546875" style="371"/>
    <col min="9473" max="9473" width="8.28515625" style="371" customWidth="1"/>
    <col min="9474" max="9474" width="41" style="371" customWidth="1"/>
    <col min="9475" max="9477" width="32.7109375" style="371" customWidth="1"/>
    <col min="9478" max="9728" width="8.85546875" style="371"/>
    <col min="9729" max="9729" width="8.28515625" style="371" customWidth="1"/>
    <col min="9730" max="9730" width="41" style="371" customWidth="1"/>
    <col min="9731" max="9733" width="32.7109375" style="371" customWidth="1"/>
    <col min="9734" max="9984" width="8.85546875" style="371"/>
    <col min="9985" max="9985" width="8.28515625" style="371" customWidth="1"/>
    <col min="9986" max="9986" width="41" style="371" customWidth="1"/>
    <col min="9987" max="9989" width="32.7109375" style="371" customWidth="1"/>
    <col min="9990" max="10240" width="8.85546875" style="371"/>
    <col min="10241" max="10241" width="8.28515625" style="371" customWidth="1"/>
    <col min="10242" max="10242" width="41" style="371" customWidth="1"/>
    <col min="10243" max="10245" width="32.7109375" style="371" customWidth="1"/>
    <col min="10246" max="10496" width="8.85546875" style="371"/>
    <col min="10497" max="10497" width="8.28515625" style="371" customWidth="1"/>
    <col min="10498" max="10498" width="41" style="371" customWidth="1"/>
    <col min="10499" max="10501" width="32.7109375" style="371" customWidth="1"/>
    <col min="10502" max="10752" width="8.85546875" style="371"/>
    <col min="10753" max="10753" width="8.28515625" style="371" customWidth="1"/>
    <col min="10754" max="10754" width="41" style="371" customWidth="1"/>
    <col min="10755" max="10757" width="32.7109375" style="371" customWidth="1"/>
    <col min="10758" max="11008" width="8.85546875" style="371"/>
    <col min="11009" max="11009" width="8.28515625" style="371" customWidth="1"/>
    <col min="11010" max="11010" width="41" style="371" customWidth="1"/>
    <col min="11011" max="11013" width="32.7109375" style="371" customWidth="1"/>
    <col min="11014" max="11264" width="8.85546875" style="371"/>
    <col min="11265" max="11265" width="8.28515625" style="371" customWidth="1"/>
    <col min="11266" max="11266" width="41" style="371" customWidth="1"/>
    <col min="11267" max="11269" width="32.7109375" style="371" customWidth="1"/>
    <col min="11270" max="11520" width="8.85546875" style="371"/>
    <col min="11521" max="11521" width="8.28515625" style="371" customWidth="1"/>
    <col min="11522" max="11522" width="41" style="371" customWidth="1"/>
    <col min="11523" max="11525" width="32.7109375" style="371" customWidth="1"/>
    <col min="11526" max="11776" width="8.85546875" style="371"/>
    <col min="11777" max="11777" width="8.28515625" style="371" customWidth="1"/>
    <col min="11778" max="11778" width="41" style="371" customWidth="1"/>
    <col min="11779" max="11781" width="32.7109375" style="371" customWidth="1"/>
    <col min="11782" max="12032" width="8.85546875" style="371"/>
    <col min="12033" max="12033" width="8.28515625" style="371" customWidth="1"/>
    <col min="12034" max="12034" width="41" style="371" customWidth="1"/>
    <col min="12035" max="12037" width="32.7109375" style="371" customWidth="1"/>
    <col min="12038" max="12288" width="8.85546875" style="371"/>
    <col min="12289" max="12289" width="8.28515625" style="371" customWidth="1"/>
    <col min="12290" max="12290" width="41" style="371" customWidth="1"/>
    <col min="12291" max="12293" width="32.7109375" style="371" customWidth="1"/>
    <col min="12294" max="12544" width="8.85546875" style="371"/>
    <col min="12545" max="12545" width="8.28515625" style="371" customWidth="1"/>
    <col min="12546" max="12546" width="41" style="371" customWidth="1"/>
    <col min="12547" max="12549" width="32.7109375" style="371" customWidth="1"/>
    <col min="12550" max="12800" width="8.85546875" style="371"/>
    <col min="12801" max="12801" width="8.28515625" style="371" customWidth="1"/>
    <col min="12802" max="12802" width="41" style="371" customWidth="1"/>
    <col min="12803" max="12805" width="32.7109375" style="371" customWidth="1"/>
    <col min="12806" max="13056" width="8.85546875" style="371"/>
    <col min="13057" max="13057" width="8.28515625" style="371" customWidth="1"/>
    <col min="13058" max="13058" width="41" style="371" customWidth="1"/>
    <col min="13059" max="13061" width="32.7109375" style="371" customWidth="1"/>
    <col min="13062" max="13312" width="8.85546875" style="371"/>
    <col min="13313" max="13313" width="8.28515625" style="371" customWidth="1"/>
    <col min="13314" max="13314" width="41" style="371" customWidth="1"/>
    <col min="13315" max="13317" width="32.7109375" style="371" customWidth="1"/>
    <col min="13318" max="13568" width="8.85546875" style="371"/>
    <col min="13569" max="13569" width="8.28515625" style="371" customWidth="1"/>
    <col min="13570" max="13570" width="41" style="371" customWidth="1"/>
    <col min="13571" max="13573" width="32.7109375" style="371" customWidth="1"/>
    <col min="13574" max="13824" width="8.85546875" style="371"/>
    <col min="13825" max="13825" width="8.28515625" style="371" customWidth="1"/>
    <col min="13826" max="13826" width="41" style="371" customWidth="1"/>
    <col min="13827" max="13829" width="32.7109375" style="371" customWidth="1"/>
    <col min="13830" max="14080" width="8.85546875" style="371"/>
    <col min="14081" max="14081" width="8.28515625" style="371" customWidth="1"/>
    <col min="14082" max="14082" width="41" style="371" customWidth="1"/>
    <col min="14083" max="14085" width="32.7109375" style="371" customWidth="1"/>
    <col min="14086" max="14336" width="8.85546875" style="371"/>
    <col min="14337" max="14337" width="8.28515625" style="371" customWidth="1"/>
    <col min="14338" max="14338" width="41" style="371" customWidth="1"/>
    <col min="14339" max="14341" width="32.7109375" style="371" customWidth="1"/>
    <col min="14342" max="14592" width="8.85546875" style="371"/>
    <col min="14593" max="14593" width="8.28515625" style="371" customWidth="1"/>
    <col min="14594" max="14594" width="41" style="371" customWidth="1"/>
    <col min="14595" max="14597" width="32.7109375" style="371" customWidth="1"/>
    <col min="14598" max="14848" width="8.85546875" style="371"/>
    <col min="14849" max="14849" width="8.28515625" style="371" customWidth="1"/>
    <col min="14850" max="14850" width="41" style="371" customWidth="1"/>
    <col min="14851" max="14853" width="32.7109375" style="371" customWidth="1"/>
    <col min="14854" max="15104" width="8.85546875" style="371"/>
    <col min="15105" max="15105" width="8.28515625" style="371" customWidth="1"/>
    <col min="15106" max="15106" width="41" style="371" customWidth="1"/>
    <col min="15107" max="15109" width="32.7109375" style="371" customWidth="1"/>
    <col min="15110" max="15360" width="8.85546875" style="371"/>
    <col min="15361" max="15361" width="8.28515625" style="371" customWidth="1"/>
    <col min="15362" max="15362" width="41" style="371" customWidth="1"/>
    <col min="15363" max="15365" width="32.7109375" style="371" customWidth="1"/>
    <col min="15366" max="15616" width="8.85546875" style="371"/>
    <col min="15617" max="15617" width="8.28515625" style="371" customWidth="1"/>
    <col min="15618" max="15618" width="41" style="371" customWidth="1"/>
    <col min="15619" max="15621" width="32.7109375" style="371" customWidth="1"/>
    <col min="15622" max="15872" width="8.85546875" style="371"/>
    <col min="15873" max="15873" width="8.28515625" style="371" customWidth="1"/>
    <col min="15874" max="15874" width="41" style="371" customWidth="1"/>
    <col min="15875" max="15877" width="32.7109375" style="371" customWidth="1"/>
    <col min="15878" max="16128" width="8.85546875" style="371"/>
    <col min="16129" max="16129" width="8.28515625" style="371" customWidth="1"/>
    <col min="16130" max="16130" width="41" style="371" customWidth="1"/>
    <col min="16131" max="16133" width="32.7109375" style="371" customWidth="1"/>
    <col min="16134" max="16384" width="8.85546875" style="371"/>
  </cols>
  <sheetData>
    <row r="1" spans="1:5" x14ac:dyDescent="0.2">
      <c r="A1" s="437" t="s">
        <v>545</v>
      </c>
      <c r="B1" s="418"/>
      <c r="C1" s="418"/>
      <c r="D1" s="418"/>
      <c r="E1" s="418"/>
    </row>
    <row r="2" spans="1:5" x14ac:dyDescent="0.2">
      <c r="A2" s="438" t="s">
        <v>0</v>
      </c>
      <c r="B2" s="439"/>
      <c r="C2" s="439"/>
      <c r="D2" s="439"/>
      <c r="E2" s="439"/>
    </row>
    <row r="3" spans="1:5" x14ac:dyDescent="0.2">
      <c r="A3" s="438" t="s">
        <v>546</v>
      </c>
      <c r="B3" s="439"/>
      <c r="C3" s="439"/>
      <c r="D3" s="439"/>
      <c r="E3" s="439"/>
    </row>
    <row r="4" spans="1:5" x14ac:dyDescent="0.2">
      <c r="A4" s="382"/>
      <c r="B4" s="83"/>
      <c r="C4" s="83"/>
      <c r="D4" s="83"/>
      <c r="E4" s="83"/>
    </row>
    <row r="5" spans="1:5" ht="20.45" customHeight="1" x14ac:dyDescent="0.2">
      <c r="A5" s="435" t="s">
        <v>507</v>
      </c>
      <c r="B5" s="436"/>
      <c r="C5" s="436"/>
      <c r="D5" s="436"/>
      <c r="E5" s="436"/>
    </row>
    <row r="6" spans="1:5" ht="15" x14ac:dyDescent="0.2">
      <c r="A6" s="389" t="s">
        <v>390</v>
      </c>
      <c r="B6" s="389" t="s">
        <v>280</v>
      </c>
      <c r="C6" s="389" t="s">
        <v>394</v>
      </c>
      <c r="D6" s="389" t="s">
        <v>395</v>
      </c>
      <c r="E6" s="389" t="s">
        <v>396</v>
      </c>
    </row>
    <row r="7" spans="1:5" ht="15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</row>
    <row r="8" spans="1:5" x14ac:dyDescent="0.2">
      <c r="A8" s="383" t="s">
        <v>388</v>
      </c>
      <c r="B8" s="384" t="s">
        <v>508</v>
      </c>
      <c r="C8" s="385">
        <v>11316196</v>
      </c>
      <c r="D8" s="385">
        <v>0</v>
      </c>
      <c r="E8" s="385">
        <v>8671305</v>
      </c>
    </row>
    <row r="9" spans="1:5" ht="25.5" x14ac:dyDescent="0.2">
      <c r="A9" s="383" t="s">
        <v>386</v>
      </c>
      <c r="B9" s="384" t="s">
        <v>509</v>
      </c>
      <c r="C9" s="385">
        <v>709730</v>
      </c>
      <c r="D9" s="385">
        <v>0</v>
      </c>
      <c r="E9" s="385">
        <v>668186</v>
      </c>
    </row>
    <row r="10" spans="1:5" ht="25.5" x14ac:dyDescent="0.2">
      <c r="A10" s="386" t="s">
        <v>382</v>
      </c>
      <c r="B10" s="387" t="s">
        <v>510</v>
      </c>
      <c r="C10" s="388">
        <v>12025926</v>
      </c>
      <c r="D10" s="388">
        <v>0</v>
      </c>
      <c r="E10" s="388">
        <v>9339491</v>
      </c>
    </row>
    <row r="11" spans="1:5" ht="25.5" x14ac:dyDescent="0.2">
      <c r="A11" s="383" t="s">
        <v>511</v>
      </c>
      <c r="B11" s="384" t="s">
        <v>512</v>
      </c>
      <c r="C11" s="385">
        <v>46225929</v>
      </c>
      <c r="D11" s="385">
        <v>0</v>
      </c>
      <c r="E11" s="385">
        <v>53759426</v>
      </c>
    </row>
    <row r="12" spans="1:5" ht="25.5" x14ac:dyDescent="0.2">
      <c r="A12" s="383" t="s">
        <v>513</v>
      </c>
      <c r="B12" s="384" t="s">
        <v>514</v>
      </c>
      <c r="C12" s="385">
        <v>4636923</v>
      </c>
      <c r="D12" s="385">
        <v>0</v>
      </c>
      <c r="E12" s="385">
        <v>4207030</v>
      </c>
    </row>
    <row r="13" spans="1:5" ht="25.5" x14ac:dyDescent="0.2">
      <c r="A13" s="383" t="s">
        <v>401</v>
      </c>
      <c r="B13" s="384" t="s">
        <v>515</v>
      </c>
      <c r="C13" s="385">
        <v>5805012</v>
      </c>
      <c r="D13" s="385">
        <v>0</v>
      </c>
      <c r="E13" s="385">
        <v>11988125</v>
      </c>
    </row>
    <row r="14" spans="1:5" ht="25.5" x14ac:dyDescent="0.2">
      <c r="A14" s="383" t="s">
        <v>403</v>
      </c>
      <c r="B14" s="384" t="s">
        <v>516</v>
      </c>
      <c r="C14" s="385">
        <v>135681</v>
      </c>
      <c r="D14" s="385">
        <v>0</v>
      </c>
      <c r="E14" s="385">
        <v>80789</v>
      </c>
    </row>
    <row r="15" spans="1:5" ht="25.5" x14ac:dyDescent="0.2">
      <c r="A15" s="386" t="s">
        <v>517</v>
      </c>
      <c r="B15" s="387" t="s">
        <v>518</v>
      </c>
      <c r="C15" s="388">
        <v>56803545</v>
      </c>
      <c r="D15" s="388">
        <v>0</v>
      </c>
      <c r="E15" s="388">
        <v>70035370</v>
      </c>
    </row>
    <row r="16" spans="1:5" x14ac:dyDescent="0.2">
      <c r="A16" s="383" t="s">
        <v>405</v>
      </c>
      <c r="B16" s="384" t="s">
        <v>519</v>
      </c>
      <c r="C16" s="385">
        <v>3830423</v>
      </c>
      <c r="D16" s="385">
        <v>0</v>
      </c>
      <c r="E16" s="385">
        <v>3530062</v>
      </c>
    </row>
    <row r="17" spans="1:5" x14ac:dyDescent="0.2">
      <c r="A17" s="383" t="s">
        <v>520</v>
      </c>
      <c r="B17" s="384" t="s">
        <v>521</v>
      </c>
      <c r="C17" s="385">
        <v>4024220</v>
      </c>
      <c r="D17" s="385">
        <v>0</v>
      </c>
      <c r="E17" s="385">
        <v>5685299</v>
      </c>
    </row>
    <row r="18" spans="1:5" ht="25.5" x14ac:dyDescent="0.2">
      <c r="A18" s="386" t="s">
        <v>372</v>
      </c>
      <c r="B18" s="387" t="s">
        <v>522</v>
      </c>
      <c r="C18" s="388">
        <v>7854643</v>
      </c>
      <c r="D18" s="388">
        <v>0</v>
      </c>
      <c r="E18" s="388">
        <v>9215361</v>
      </c>
    </row>
    <row r="19" spans="1:5" x14ac:dyDescent="0.2">
      <c r="A19" s="383" t="s">
        <v>523</v>
      </c>
      <c r="B19" s="384" t="s">
        <v>524</v>
      </c>
      <c r="C19" s="385">
        <v>10117646</v>
      </c>
      <c r="D19" s="385">
        <v>0</v>
      </c>
      <c r="E19" s="385">
        <v>9120905</v>
      </c>
    </row>
    <row r="20" spans="1:5" x14ac:dyDescent="0.2">
      <c r="A20" s="383" t="s">
        <v>525</v>
      </c>
      <c r="B20" s="384" t="s">
        <v>526</v>
      </c>
      <c r="C20" s="385">
        <v>4626420</v>
      </c>
      <c r="D20" s="385">
        <v>0</v>
      </c>
      <c r="E20" s="385">
        <v>4733905</v>
      </c>
    </row>
    <row r="21" spans="1:5" x14ac:dyDescent="0.2">
      <c r="A21" s="383" t="s">
        <v>527</v>
      </c>
      <c r="B21" s="384" t="s">
        <v>528</v>
      </c>
      <c r="C21" s="385">
        <v>2450885</v>
      </c>
      <c r="D21" s="385">
        <v>0</v>
      </c>
      <c r="E21" s="385">
        <v>2239092</v>
      </c>
    </row>
    <row r="22" spans="1:5" ht="25.5" x14ac:dyDescent="0.2">
      <c r="A22" s="386" t="s">
        <v>409</v>
      </c>
      <c r="B22" s="387" t="s">
        <v>529</v>
      </c>
      <c r="C22" s="388">
        <v>17194951</v>
      </c>
      <c r="D22" s="388">
        <v>0</v>
      </c>
      <c r="E22" s="388">
        <v>16093902</v>
      </c>
    </row>
    <row r="23" spans="1:5" x14ac:dyDescent="0.2">
      <c r="A23" s="386" t="s">
        <v>411</v>
      </c>
      <c r="B23" s="387" t="s">
        <v>530</v>
      </c>
      <c r="C23" s="388">
        <v>10159666</v>
      </c>
      <c r="D23" s="388">
        <v>0</v>
      </c>
      <c r="E23" s="388">
        <v>9868060</v>
      </c>
    </row>
    <row r="24" spans="1:5" x14ac:dyDescent="0.2">
      <c r="A24" s="386" t="s">
        <v>531</v>
      </c>
      <c r="B24" s="387" t="s">
        <v>532</v>
      </c>
      <c r="C24" s="388">
        <v>31872755</v>
      </c>
      <c r="D24" s="388">
        <v>0</v>
      </c>
      <c r="E24" s="388">
        <v>39772719</v>
      </c>
    </row>
    <row r="25" spans="1:5" ht="25.5" x14ac:dyDescent="0.2">
      <c r="A25" s="386" t="s">
        <v>413</v>
      </c>
      <c r="B25" s="387" t="s">
        <v>533</v>
      </c>
      <c r="C25" s="388">
        <v>1747456</v>
      </c>
      <c r="D25" s="388">
        <v>0</v>
      </c>
      <c r="E25" s="388">
        <v>4424819</v>
      </c>
    </row>
    <row r="26" spans="1:5" ht="25.5" x14ac:dyDescent="0.2">
      <c r="A26" s="383" t="s">
        <v>417</v>
      </c>
      <c r="B26" s="384" t="s">
        <v>534</v>
      </c>
      <c r="C26" s="385">
        <v>26</v>
      </c>
      <c r="D26" s="385">
        <v>0</v>
      </c>
      <c r="E26" s="385">
        <v>26</v>
      </c>
    </row>
    <row r="27" spans="1:5" ht="38.25" x14ac:dyDescent="0.2">
      <c r="A27" s="386" t="s">
        <v>535</v>
      </c>
      <c r="B27" s="387" t="s">
        <v>536</v>
      </c>
      <c r="C27" s="388">
        <v>26</v>
      </c>
      <c r="D27" s="388">
        <v>0</v>
      </c>
      <c r="E27" s="388">
        <v>26</v>
      </c>
    </row>
    <row r="28" spans="1:5" ht="25.5" x14ac:dyDescent="0.2">
      <c r="A28" s="383" t="s">
        <v>537</v>
      </c>
      <c r="B28" s="384" t="s">
        <v>538</v>
      </c>
      <c r="C28" s="385">
        <v>0</v>
      </c>
      <c r="D28" s="385">
        <v>0</v>
      </c>
      <c r="E28" s="385">
        <v>218</v>
      </c>
    </row>
    <row r="29" spans="1:5" ht="25.5" x14ac:dyDescent="0.2">
      <c r="A29" s="386" t="s">
        <v>539</v>
      </c>
      <c r="B29" s="387" t="s">
        <v>540</v>
      </c>
      <c r="C29" s="388">
        <v>0</v>
      </c>
      <c r="D29" s="388">
        <v>0</v>
      </c>
      <c r="E29" s="388">
        <v>218</v>
      </c>
    </row>
    <row r="30" spans="1:5" ht="25.5" x14ac:dyDescent="0.2">
      <c r="A30" s="386" t="s">
        <v>541</v>
      </c>
      <c r="B30" s="387" t="s">
        <v>542</v>
      </c>
      <c r="C30" s="388">
        <v>26</v>
      </c>
      <c r="D30" s="388">
        <v>0</v>
      </c>
      <c r="E30" s="388">
        <v>-192</v>
      </c>
    </row>
    <row r="31" spans="1:5" x14ac:dyDescent="0.2">
      <c r="A31" s="386" t="s">
        <v>543</v>
      </c>
      <c r="B31" s="387" t="s">
        <v>544</v>
      </c>
      <c r="C31" s="388">
        <v>1747482</v>
      </c>
      <c r="D31" s="388">
        <v>0</v>
      </c>
      <c r="E31" s="388">
        <v>4424627</v>
      </c>
    </row>
  </sheetData>
  <mergeCells count="4">
    <mergeCell ref="A5:E5"/>
    <mergeCell ref="A2:E2"/>
    <mergeCell ref="A1:E1"/>
    <mergeCell ref="A3:E3"/>
  </mergeCells>
  <pageMargins left="0.75" right="0.75" top="1" bottom="1" header="0.5" footer="0.5"/>
  <pageSetup scale="80" orientation="portrait" horizontalDpi="300" verticalDpi="300" r:id="rId1"/>
  <headerFooter alignWithMargins="0">
    <oddHeader>&amp;C&amp;L&amp;RÉrték típus: Forint</oddHeader>
    <oddFooter>&amp;C&amp;LAdatellenőrző kód: -76-1d622a-577-57-5b-3f111e-6d7b-65f5c42567614&amp;R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view="pageBreakPreview" zoomScale="60" zoomScaleNormal="100" workbookViewId="0">
      <pane ySplit="6" topLeftCell="A7" activePane="bottomLeft" state="frozen"/>
      <selection pane="bottomLeft" activeCell="I28" sqref="I28"/>
    </sheetView>
  </sheetViews>
  <sheetFormatPr defaultRowHeight="12.75" x14ac:dyDescent="0.2"/>
  <cols>
    <col min="1" max="1" width="8.28515625" style="371" customWidth="1"/>
    <col min="2" max="2" width="40.42578125" style="371" customWidth="1"/>
    <col min="3" max="9" width="20.7109375" style="371" customWidth="1"/>
    <col min="10" max="256" width="8.85546875" style="371"/>
    <col min="257" max="257" width="8.28515625" style="371" customWidth="1"/>
    <col min="258" max="258" width="41" style="371" customWidth="1"/>
    <col min="259" max="265" width="32.7109375" style="371" customWidth="1"/>
    <col min="266" max="512" width="8.85546875" style="371"/>
    <col min="513" max="513" width="8.28515625" style="371" customWidth="1"/>
    <col min="514" max="514" width="41" style="371" customWidth="1"/>
    <col min="515" max="521" width="32.7109375" style="371" customWidth="1"/>
    <col min="522" max="768" width="8.85546875" style="371"/>
    <col min="769" max="769" width="8.28515625" style="371" customWidth="1"/>
    <col min="770" max="770" width="41" style="371" customWidth="1"/>
    <col min="771" max="777" width="32.7109375" style="371" customWidth="1"/>
    <col min="778" max="1024" width="8.85546875" style="371"/>
    <col min="1025" max="1025" width="8.28515625" style="371" customWidth="1"/>
    <col min="1026" max="1026" width="41" style="371" customWidth="1"/>
    <col min="1027" max="1033" width="32.7109375" style="371" customWidth="1"/>
    <col min="1034" max="1280" width="8.85546875" style="371"/>
    <col min="1281" max="1281" width="8.28515625" style="371" customWidth="1"/>
    <col min="1282" max="1282" width="41" style="371" customWidth="1"/>
    <col min="1283" max="1289" width="32.7109375" style="371" customWidth="1"/>
    <col min="1290" max="1536" width="8.85546875" style="371"/>
    <col min="1537" max="1537" width="8.28515625" style="371" customWidth="1"/>
    <col min="1538" max="1538" width="41" style="371" customWidth="1"/>
    <col min="1539" max="1545" width="32.7109375" style="371" customWidth="1"/>
    <col min="1546" max="1792" width="8.85546875" style="371"/>
    <col min="1793" max="1793" width="8.28515625" style="371" customWidth="1"/>
    <col min="1794" max="1794" width="41" style="371" customWidth="1"/>
    <col min="1795" max="1801" width="32.7109375" style="371" customWidth="1"/>
    <col min="1802" max="2048" width="8.85546875" style="371"/>
    <col min="2049" max="2049" width="8.28515625" style="371" customWidth="1"/>
    <col min="2050" max="2050" width="41" style="371" customWidth="1"/>
    <col min="2051" max="2057" width="32.7109375" style="371" customWidth="1"/>
    <col min="2058" max="2304" width="8.85546875" style="371"/>
    <col min="2305" max="2305" width="8.28515625" style="371" customWidth="1"/>
    <col min="2306" max="2306" width="41" style="371" customWidth="1"/>
    <col min="2307" max="2313" width="32.7109375" style="371" customWidth="1"/>
    <col min="2314" max="2560" width="8.85546875" style="371"/>
    <col min="2561" max="2561" width="8.28515625" style="371" customWidth="1"/>
    <col min="2562" max="2562" width="41" style="371" customWidth="1"/>
    <col min="2563" max="2569" width="32.7109375" style="371" customWidth="1"/>
    <col min="2570" max="2816" width="8.85546875" style="371"/>
    <col min="2817" max="2817" width="8.28515625" style="371" customWidth="1"/>
    <col min="2818" max="2818" width="41" style="371" customWidth="1"/>
    <col min="2819" max="2825" width="32.7109375" style="371" customWidth="1"/>
    <col min="2826" max="3072" width="8.85546875" style="371"/>
    <col min="3073" max="3073" width="8.28515625" style="371" customWidth="1"/>
    <col min="3074" max="3074" width="41" style="371" customWidth="1"/>
    <col min="3075" max="3081" width="32.7109375" style="371" customWidth="1"/>
    <col min="3082" max="3328" width="8.85546875" style="371"/>
    <col min="3329" max="3329" width="8.28515625" style="371" customWidth="1"/>
    <col min="3330" max="3330" width="41" style="371" customWidth="1"/>
    <col min="3331" max="3337" width="32.7109375" style="371" customWidth="1"/>
    <col min="3338" max="3584" width="8.85546875" style="371"/>
    <col min="3585" max="3585" width="8.28515625" style="371" customWidth="1"/>
    <col min="3586" max="3586" width="41" style="371" customWidth="1"/>
    <col min="3587" max="3593" width="32.7109375" style="371" customWidth="1"/>
    <col min="3594" max="3840" width="8.85546875" style="371"/>
    <col min="3841" max="3841" width="8.28515625" style="371" customWidth="1"/>
    <col min="3842" max="3842" width="41" style="371" customWidth="1"/>
    <col min="3843" max="3849" width="32.7109375" style="371" customWidth="1"/>
    <col min="3850" max="4096" width="8.85546875" style="371"/>
    <col min="4097" max="4097" width="8.28515625" style="371" customWidth="1"/>
    <col min="4098" max="4098" width="41" style="371" customWidth="1"/>
    <col min="4099" max="4105" width="32.7109375" style="371" customWidth="1"/>
    <col min="4106" max="4352" width="8.85546875" style="371"/>
    <col min="4353" max="4353" width="8.28515625" style="371" customWidth="1"/>
    <col min="4354" max="4354" width="41" style="371" customWidth="1"/>
    <col min="4355" max="4361" width="32.7109375" style="371" customWidth="1"/>
    <col min="4362" max="4608" width="8.85546875" style="371"/>
    <col min="4609" max="4609" width="8.28515625" style="371" customWidth="1"/>
    <col min="4610" max="4610" width="41" style="371" customWidth="1"/>
    <col min="4611" max="4617" width="32.7109375" style="371" customWidth="1"/>
    <col min="4618" max="4864" width="8.85546875" style="371"/>
    <col min="4865" max="4865" width="8.28515625" style="371" customWidth="1"/>
    <col min="4866" max="4866" width="41" style="371" customWidth="1"/>
    <col min="4867" max="4873" width="32.7109375" style="371" customWidth="1"/>
    <col min="4874" max="5120" width="8.85546875" style="371"/>
    <col min="5121" max="5121" width="8.28515625" style="371" customWidth="1"/>
    <col min="5122" max="5122" width="41" style="371" customWidth="1"/>
    <col min="5123" max="5129" width="32.7109375" style="371" customWidth="1"/>
    <col min="5130" max="5376" width="8.85546875" style="371"/>
    <col min="5377" max="5377" width="8.28515625" style="371" customWidth="1"/>
    <col min="5378" max="5378" width="41" style="371" customWidth="1"/>
    <col min="5379" max="5385" width="32.7109375" style="371" customWidth="1"/>
    <col min="5386" max="5632" width="8.85546875" style="371"/>
    <col min="5633" max="5633" width="8.28515625" style="371" customWidth="1"/>
    <col min="5634" max="5634" width="41" style="371" customWidth="1"/>
    <col min="5635" max="5641" width="32.7109375" style="371" customWidth="1"/>
    <col min="5642" max="5888" width="8.85546875" style="371"/>
    <col min="5889" max="5889" width="8.28515625" style="371" customWidth="1"/>
    <col min="5890" max="5890" width="41" style="371" customWidth="1"/>
    <col min="5891" max="5897" width="32.7109375" style="371" customWidth="1"/>
    <col min="5898" max="6144" width="8.85546875" style="371"/>
    <col min="6145" max="6145" width="8.28515625" style="371" customWidth="1"/>
    <col min="6146" max="6146" width="41" style="371" customWidth="1"/>
    <col min="6147" max="6153" width="32.7109375" style="371" customWidth="1"/>
    <col min="6154" max="6400" width="8.85546875" style="371"/>
    <col min="6401" max="6401" width="8.28515625" style="371" customWidth="1"/>
    <col min="6402" max="6402" width="41" style="371" customWidth="1"/>
    <col min="6403" max="6409" width="32.7109375" style="371" customWidth="1"/>
    <col min="6410" max="6656" width="8.85546875" style="371"/>
    <col min="6657" max="6657" width="8.28515625" style="371" customWidth="1"/>
    <col min="6658" max="6658" width="41" style="371" customWidth="1"/>
    <col min="6659" max="6665" width="32.7109375" style="371" customWidth="1"/>
    <col min="6666" max="6912" width="8.85546875" style="371"/>
    <col min="6913" max="6913" width="8.28515625" style="371" customWidth="1"/>
    <col min="6914" max="6914" width="41" style="371" customWidth="1"/>
    <col min="6915" max="6921" width="32.7109375" style="371" customWidth="1"/>
    <col min="6922" max="7168" width="8.85546875" style="371"/>
    <col min="7169" max="7169" width="8.28515625" style="371" customWidth="1"/>
    <col min="7170" max="7170" width="41" style="371" customWidth="1"/>
    <col min="7171" max="7177" width="32.7109375" style="371" customWidth="1"/>
    <col min="7178" max="7424" width="8.85546875" style="371"/>
    <col min="7425" max="7425" width="8.28515625" style="371" customWidth="1"/>
    <col min="7426" max="7426" width="41" style="371" customWidth="1"/>
    <col min="7427" max="7433" width="32.7109375" style="371" customWidth="1"/>
    <col min="7434" max="7680" width="8.85546875" style="371"/>
    <col min="7681" max="7681" width="8.28515625" style="371" customWidth="1"/>
    <col min="7682" max="7682" width="41" style="371" customWidth="1"/>
    <col min="7683" max="7689" width="32.7109375" style="371" customWidth="1"/>
    <col min="7690" max="7936" width="8.85546875" style="371"/>
    <col min="7937" max="7937" width="8.28515625" style="371" customWidth="1"/>
    <col min="7938" max="7938" width="41" style="371" customWidth="1"/>
    <col min="7939" max="7945" width="32.7109375" style="371" customWidth="1"/>
    <col min="7946" max="8192" width="8.85546875" style="371"/>
    <col min="8193" max="8193" width="8.28515625" style="371" customWidth="1"/>
    <col min="8194" max="8194" width="41" style="371" customWidth="1"/>
    <col min="8195" max="8201" width="32.7109375" style="371" customWidth="1"/>
    <col min="8202" max="8448" width="8.85546875" style="371"/>
    <col min="8449" max="8449" width="8.28515625" style="371" customWidth="1"/>
    <col min="8450" max="8450" width="41" style="371" customWidth="1"/>
    <col min="8451" max="8457" width="32.7109375" style="371" customWidth="1"/>
    <col min="8458" max="8704" width="8.85546875" style="371"/>
    <col min="8705" max="8705" width="8.28515625" style="371" customWidth="1"/>
    <col min="8706" max="8706" width="41" style="371" customWidth="1"/>
    <col min="8707" max="8713" width="32.7109375" style="371" customWidth="1"/>
    <col min="8714" max="8960" width="8.85546875" style="371"/>
    <col min="8961" max="8961" width="8.28515625" style="371" customWidth="1"/>
    <col min="8962" max="8962" width="41" style="371" customWidth="1"/>
    <col min="8963" max="8969" width="32.7109375" style="371" customWidth="1"/>
    <col min="8970" max="9216" width="8.85546875" style="371"/>
    <col min="9217" max="9217" width="8.28515625" style="371" customWidth="1"/>
    <col min="9218" max="9218" width="41" style="371" customWidth="1"/>
    <col min="9219" max="9225" width="32.7109375" style="371" customWidth="1"/>
    <col min="9226" max="9472" width="8.85546875" style="371"/>
    <col min="9473" max="9473" width="8.28515625" style="371" customWidth="1"/>
    <col min="9474" max="9474" width="41" style="371" customWidth="1"/>
    <col min="9475" max="9481" width="32.7109375" style="371" customWidth="1"/>
    <col min="9482" max="9728" width="8.85546875" style="371"/>
    <col min="9729" max="9729" width="8.28515625" style="371" customWidth="1"/>
    <col min="9730" max="9730" width="41" style="371" customWidth="1"/>
    <col min="9731" max="9737" width="32.7109375" style="371" customWidth="1"/>
    <col min="9738" max="9984" width="8.85546875" style="371"/>
    <col min="9985" max="9985" width="8.28515625" style="371" customWidth="1"/>
    <col min="9986" max="9986" width="41" style="371" customWidth="1"/>
    <col min="9987" max="9993" width="32.7109375" style="371" customWidth="1"/>
    <col min="9994" max="10240" width="8.85546875" style="371"/>
    <col min="10241" max="10241" width="8.28515625" style="371" customWidth="1"/>
    <col min="10242" max="10242" width="41" style="371" customWidth="1"/>
    <col min="10243" max="10249" width="32.7109375" style="371" customWidth="1"/>
    <col min="10250" max="10496" width="8.85546875" style="371"/>
    <col min="10497" max="10497" width="8.28515625" style="371" customWidth="1"/>
    <col min="10498" max="10498" width="41" style="371" customWidth="1"/>
    <col min="10499" max="10505" width="32.7109375" style="371" customWidth="1"/>
    <col min="10506" max="10752" width="8.85546875" style="371"/>
    <col min="10753" max="10753" width="8.28515625" style="371" customWidth="1"/>
    <col min="10754" max="10754" width="41" style="371" customWidth="1"/>
    <col min="10755" max="10761" width="32.7109375" style="371" customWidth="1"/>
    <col min="10762" max="11008" width="8.85546875" style="371"/>
    <col min="11009" max="11009" width="8.28515625" style="371" customWidth="1"/>
    <col min="11010" max="11010" width="41" style="371" customWidth="1"/>
    <col min="11011" max="11017" width="32.7109375" style="371" customWidth="1"/>
    <col min="11018" max="11264" width="8.85546875" style="371"/>
    <col min="11265" max="11265" width="8.28515625" style="371" customWidth="1"/>
    <col min="11266" max="11266" width="41" style="371" customWidth="1"/>
    <col min="11267" max="11273" width="32.7109375" style="371" customWidth="1"/>
    <col min="11274" max="11520" width="8.85546875" style="371"/>
    <col min="11521" max="11521" width="8.28515625" style="371" customWidth="1"/>
    <col min="11522" max="11522" width="41" style="371" customWidth="1"/>
    <col min="11523" max="11529" width="32.7109375" style="371" customWidth="1"/>
    <col min="11530" max="11776" width="8.85546875" style="371"/>
    <col min="11777" max="11777" width="8.28515625" style="371" customWidth="1"/>
    <col min="11778" max="11778" width="41" style="371" customWidth="1"/>
    <col min="11779" max="11785" width="32.7109375" style="371" customWidth="1"/>
    <col min="11786" max="12032" width="8.85546875" style="371"/>
    <col min="12033" max="12033" width="8.28515625" style="371" customWidth="1"/>
    <col min="12034" max="12034" width="41" style="371" customWidth="1"/>
    <col min="12035" max="12041" width="32.7109375" style="371" customWidth="1"/>
    <col min="12042" max="12288" width="8.85546875" style="371"/>
    <col min="12289" max="12289" width="8.28515625" style="371" customWidth="1"/>
    <col min="12290" max="12290" width="41" style="371" customWidth="1"/>
    <col min="12291" max="12297" width="32.7109375" style="371" customWidth="1"/>
    <col min="12298" max="12544" width="8.85546875" style="371"/>
    <col min="12545" max="12545" width="8.28515625" style="371" customWidth="1"/>
    <col min="12546" max="12546" width="41" style="371" customWidth="1"/>
    <col min="12547" max="12553" width="32.7109375" style="371" customWidth="1"/>
    <col min="12554" max="12800" width="8.85546875" style="371"/>
    <col min="12801" max="12801" width="8.28515625" style="371" customWidth="1"/>
    <col min="12802" max="12802" width="41" style="371" customWidth="1"/>
    <col min="12803" max="12809" width="32.7109375" style="371" customWidth="1"/>
    <col min="12810" max="13056" width="8.85546875" style="371"/>
    <col min="13057" max="13057" width="8.28515625" style="371" customWidth="1"/>
    <col min="13058" max="13058" width="41" style="371" customWidth="1"/>
    <col min="13059" max="13065" width="32.7109375" style="371" customWidth="1"/>
    <col min="13066" max="13312" width="8.85546875" style="371"/>
    <col min="13313" max="13313" width="8.28515625" style="371" customWidth="1"/>
    <col min="13314" max="13314" width="41" style="371" customWidth="1"/>
    <col min="13315" max="13321" width="32.7109375" style="371" customWidth="1"/>
    <col min="13322" max="13568" width="8.85546875" style="371"/>
    <col min="13569" max="13569" width="8.28515625" style="371" customWidth="1"/>
    <col min="13570" max="13570" width="41" style="371" customWidth="1"/>
    <col min="13571" max="13577" width="32.7109375" style="371" customWidth="1"/>
    <col min="13578" max="13824" width="8.85546875" style="371"/>
    <col min="13825" max="13825" width="8.28515625" style="371" customWidth="1"/>
    <col min="13826" max="13826" width="41" style="371" customWidth="1"/>
    <col min="13827" max="13833" width="32.7109375" style="371" customWidth="1"/>
    <col min="13834" max="14080" width="8.85546875" style="371"/>
    <col min="14081" max="14081" width="8.28515625" style="371" customWidth="1"/>
    <col min="14082" max="14082" width="41" style="371" customWidth="1"/>
    <col min="14083" max="14089" width="32.7109375" style="371" customWidth="1"/>
    <col min="14090" max="14336" width="8.85546875" style="371"/>
    <col min="14337" max="14337" width="8.28515625" style="371" customWidth="1"/>
    <col min="14338" max="14338" width="41" style="371" customWidth="1"/>
    <col min="14339" max="14345" width="32.7109375" style="371" customWidth="1"/>
    <col min="14346" max="14592" width="8.85546875" style="371"/>
    <col min="14593" max="14593" width="8.28515625" style="371" customWidth="1"/>
    <col min="14594" max="14594" width="41" style="371" customWidth="1"/>
    <col min="14595" max="14601" width="32.7109375" style="371" customWidth="1"/>
    <col min="14602" max="14848" width="8.85546875" style="371"/>
    <col min="14849" max="14849" width="8.28515625" style="371" customWidth="1"/>
    <col min="14850" max="14850" width="41" style="371" customWidth="1"/>
    <col min="14851" max="14857" width="32.7109375" style="371" customWidth="1"/>
    <col min="14858" max="15104" width="8.85546875" style="371"/>
    <col min="15105" max="15105" width="8.28515625" style="371" customWidth="1"/>
    <col min="15106" max="15106" width="41" style="371" customWidth="1"/>
    <col min="15107" max="15113" width="32.7109375" style="371" customWidth="1"/>
    <col min="15114" max="15360" width="8.85546875" style="371"/>
    <col min="15361" max="15361" width="8.28515625" style="371" customWidth="1"/>
    <col min="15362" max="15362" width="41" style="371" customWidth="1"/>
    <col min="15363" max="15369" width="32.7109375" style="371" customWidth="1"/>
    <col min="15370" max="15616" width="8.85546875" style="371"/>
    <col min="15617" max="15617" width="8.28515625" style="371" customWidth="1"/>
    <col min="15618" max="15618" width="41" style="371" customWidth="1"/>
    <col min="15619" max="15625" width="32.7109375" style="371" customWidth="1"/>
    <col min="15626" max="15872" width="8.85546875" style="371"/>
    <col min="15873" max="15873" width="8.28515625" style="371" customWidth="1"/>
    <col min="15874" max="15874" width="41" style="371" customWidth="1"/>
    <col min="15875" max="15881" width="32.7109375" style="371" customWidth="1"/>
    <col min="15882" max="16128" width="8.85546875" style="371"/>
    <col min="16129" max="16129" width="8.28515625" style="371" customWidth="1"/>
    <col min="16130" max="16130" width="41" style="371" customWidth="1"/>
    <col min="16131" max="16137" width="32.7109375" style="371" customWidth="1"/>
    <col min="16138" max="16384" width="8.85546875" style="371"/>
  </cols>
  <sheetData>
    <row r="1" spans="1:9" x14ac:dyDescent="0.2">
      <c r="A1" s="437" t="s">
        <v>572</v>
      </c>
      <c r="B1" s="418"/>
      <c r="C1" s="418"/>
      <c r="D1" s="418"/>
      <c r="E1" s="418"/>
      <c r="F1" s="418"/>
      <c r="G1" s="418"/>
      <c r="H1" s="418"/>
      <c r="I1" s="418"/>
    </row>
    <row r="2" spans="1:9" x14ac:dyDescent="0.2">
      <c r="A2" s="438" t="s">
        <v>0</v>
      </c>
      <c r="B2" s="439"/>
      <c r="C2" s="439"/>
      <c r="D2" s="439"/>
      <c r="E2" s="439"/>
      <c r="F2" s="439"/>
      <c r="G2" s="439"/>
      <c r="H2" s="439"/>
      <c r="I2" s="439"/>
    </row>
    <row r="3" spans="1:9" ht="14.45" customHeight="1" x14ac:dyDescent="0.2">
      <c r="A3" s="438" t="s">
        <v>573</v>
      </c>
      <c r="B3" s="439"/>
      <c r="C3" s="439"/>
      <c r="D3" s="439"/>
      <c r="E3" s="439"/>
      <c r="F3" s="439"/>
      <c r="G3" s="439"/>
      <c r="H3" s="439"/>
      <c r="I3" s="439"/>
    </row>
    <row r="4" spans="1:9" ht="14.45" customHeight="1" x14ac:dyDescent="0.2">
      <c r="A4" s="382"/>
      <c r="B4" s="83"/>
      <c r="C4" s="83"/>
      <c r="D4" s="83"/>
      <c r="E4" s="83"/>
      <c r="F4" s="83"/>
      <c r="G4" s="83"/>
      <c r="H4" s="83"/>
      <c r="I4" s="83"/>
    </row>
    <row r="5" spans="1:9" ht="21.6" customHeight="1" x14ac:dyDescent="0.2">
      <c r="A5" s="435" t="s">
        <v>547</v>
      </c>
      <c r="B5" s="436"/>
      <c r="C5" s="436"/>
      <c r="D5" s="436"/>
      <c r="E5" s="436"/>
      <c r="F5" s="436"/>
      <c r="G5" s="436"/>
      <c r="H5" s="436"/>
      <c r="I5" s="436"/>
    </row>
    <row r="6" spans="1:9" ht="60" x14ac:dyDescent="0.2">
      <c r="A6" s="389" t="s">
        <v>390</v>
      </c>
      <c r="B6" s="389" t="s">
        <v>280</v>
      </c>
      <c r="C6" s="389" t="s">
        <v>548</v>
      </c>
      <c r="D6" s="389" t="s">
        <v>549</v>
      </c>
      <c r="E6" s="389" t="s">
        <v>550</v>
      </c>
      <c r="F6" s="389" t="s">
        <v>551</v>
      </c>
      <c r="G6" s="389" t="s">
        <v>552</v>
      </c>
      <c r="H6" s="389" t="s">
        <v>553</v>
      </c>
      <c r="I6" s="389" t="s">
        <v>554</v>
      </c>
    </row>
    <row r="7" spans="1:9" ht="15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  <c r="F7" s="389">
        <v>6</v>
      </c>
      <c r="G7" s="389">
        <v>7</v>
      </c>
      <c r="H7" s="389">
        <v>8</v>
      </c>
      <c r="I7" s="389">
        <v>9</v>
      </c>
    </row>
    <row r="8" spans="1:9" ht="25.5" x14ac:dyDescent="0.2">
      <c r="A8" s="386" t="s">
        <v>388</v>
      </c>
      <c r="B8" s="387" t="s">
        <v>555</v>
      </c>
      <c r="C8" s="388">
        <v>1524000</v>
      </c>
      <c r="D8" s="388">
        <v>307909089</v>
      </c>
      <c r="E8" s="388">
        <v>10845915</v>
      </c>
      <c r="F8" s="388">
        <v>0</v>
      </c>
      <c r="G8" s="388">
        <v>0</v>
      </c>
      <c r="H8" s="388">
        <v>14603649</v>
      </c>
      <c r="I8" s="388">
        <v>334882653</v>
      </c>
    </row>
    <row r="9" spans="1:9" ht="25.5" x14ac:dyDescent="0.2">
      <c r="A9" s="383" t="s">
        <v>386</v>
      </c>
      <c r="B9" s="384" t="s">
        <v>556</v>
      </c>
      <c r="C9" s="385">
        <v>0</v>
      </c>
      <c r="D9" s="385">
        <v>0</v>
      </c>
      <c r="E9" s="385">
        <v>0</v>
      </c>
      <c r="F9" s="385">
        <v>0</v>
      </c>
      <c r="G9" s="385">
        <v>3004651</v>
      </c>
      <c r="H9" s="385">
        <v>0</v>
      </c>
      <c r="I9" s="385">
        <v>3004651</v>
      </c>
    </row>
    <row r="10" spans="1:9" x14ac:dyDescent="0.2">
      <c r="A10" s="383" t="s">
        <v>384</v>
      </c>
      <c r="B10" s="384" t="s">
        <v>557</v>
      </c>
      <c r="C10" s="385">
        <v>0</v>
      </c>
      <c r="D10" s="385">
        <v>0</v>
      </c>
      <c r="E10" s="385">
        <v>0</v>
      </c>
      <c r="F10" s="385">
        <v>0</v>
      </c>
      <c r="G10" s="385">
        <v>2500000</v>
      </c>
      <c r="H10" s="385">
        <v>0</v>
      </c>
      <c r="I10" s="385">
        <v>2500000</v>
      </c>
    </row>
    <row r="11" spans="1:9" x14ac:dyDescent="0.2">
      <c r="A11" s="383" t="s">
        <v>382</v>
      </c>
      <c r="B11" s="384" t="s">
        <v>558</v>
      </c>
      <c r="C11" s="385">
        <v>0</v>
      </c>
      <c r="D11" s="385">
        <v>2500000</v>
      </c>
      <c r="E11" s="385">
        <v>3004651</v>
      </c>
      <c r="F11" s="385">
        <v>0</v>
      </c>
      <c r="G11" s="385">
        <v>0</v>
      </c>
      <c r="H11" s="385">
        <v>0</v>
      </c>
      <c r="I11" s="385">
        <v>5504651</v>
      </c>
    </row>
    <row r="12" spans="1:9" x14ac:dyDescent="0.2">
      <c r="A12" s="383" t="s">
        <v>376</v>
      </c>
      <c r="B12" s="384" t="s">
        <v>559</v>
      </c>
      <c r="C12" s="385">
        <v>0</v>
      </c>
      <c r="D12" s="385">
        <v>0</v>
      </c>
      <c r="E12" s="385">
        <v>164231</v>
      </c>
      <c r="F12" s="385">
        <v>0</v>
      </c>
      <c r="G12" s="385">
        <v>0</v>
      </c>
      <c r="H12" s="385">
        <v>0</v>
      </c>
      <c r="I12" s="385">
        <v>164231</v>
      </c>
    </row>
    <row r="13" spans="1:9" x14ac:dyDescent="0.2">
      <c r="A13" s="386" t="s">
        <v>511</v>
      </c>
      <c r="B13" s="387" t="s">
        <v>560</v>
      </c>
      <c r="C13" s="388">
        <v>0</v>
      </c>
      <c r="D13" s="388">
        <v>2500000</v>
      </c>
      <c r="E13" s="388">
        <v>3168882</v>
      </c>
      <c r="F13" s="388">
        <v>0</v>
      </c>
      <c r="G13" s="388">
        <v>5504651</v>
      </c>
      <c r="H13" s="388">
        <v>0</v>
      </c>
      <c r="I13" s="388">
        <v>11173533</v>
      </c>
    </row>
    <row r="14" spans="1:9" x14ac:dyDescent="0.2">
      <c r="A14" s="383" t="s">
        <v>405</v>
      </c>
      <c r="B14" s="384" t="s">
        <v>561</v>
      </c>
      <c r="C14" s="385">
        <v>0</v>
      </c>
      <c r="D14" s="385">
        <v>0</v>
      </c>
      <c r="E14" s="385">
        <v>164231</v>
      </c>
      <c r="F14" s="385">
        <v>0</v>
      </c>
      <c r="G14" s="385">
        <v>5504651</v>
      </c>
      <c r="H14" s="385">
        <v>0</v>
      </c>
      <c r="I14" s="385">
        <v>5668882</v>
      </c>
    </row>
    <row r="15" spans="1:9" x14ac:dyDescent="0.2">
      <c r="A15" s="386" t="s">
        <v>520</v>
      </c>
      <c r="B15" s="387" t="s">
        <v>562</v>
      </c>
      <c r="C15" s="388">
        <v>0</v>
      </c>
      <c r="D15" s="388">
        <v>0</v>
      </c>
      <c r="E15" s="388">
        <v>164231</v>
      </c>
      <c r="F15" s="388">
        <v>0</v>
      </c>
      <c r="G15" s="388">
        <v>5504651</v>
      </c>
      <c r="H15" s="388">
        <v>0</v>
      </c>
      <c r="I15" s="388">
        <v>5668882</v>
      </c>
    </row>
    <row r="16" spans="1:9" x14ac:dyDescent="0.2">
      <c r="A16" s="386" t="s">
        <v>374</v>
      </c>
      <c r="B16" s="387" t="s">
        <v>563</v>
      </c>
      <c r="C16" s="388">
        <v>1524000</v>
      </c>
      <c r="D16" s="388">
        <v>310409089</v>
      </c>
      <c r="E16" s="388">
        <v>13850566</v>
      </c>
      <c r="F16" s="388">
        <v>0</v>
      </c>
      <c r="G16" s="388">
        <v>0</v>
      </c>
      <c r="H16" s="388">
        <v>14603649</v>
      </c>
      <c r="I16" s="388">
        <v>340387304</v>
      </c>
    </row>
    <row r="17" spans="1:9" ht="25.5" x14ac:dyDescent="0.2">
      <c r="A17" s="386" t="s">
        <v>407</v>
      </c>
      <c r="B17" s="387" t="s">
        <v>564</v>
      </c>
      <c r="C17" s="388">
        <v>923300</v>
      </c>
      <c r="D17" s="388">
        <v>47982499</v>
      </c>
      <c r="E17" s="388">
        <v>7789233</v>
      </c>
      <c r="F17" s="388">
        <v>0</v>
      </c>
      <c r="G17" s="388">
        <v>0</v>
      </c>
      <c r="H17" s="388">
        <v>2628659</v>
      </c>
      <c r="I17" s="388">
        <v>59323691</v>
      </c>
    </row>
    <row r="18" spans="1:9" x14ac:dyDescent="0.2">
      <c r="A18" s="383" t="s">
        <v>372</v>
      </c>
      <c r="B18" s="384" t="s">
        <v>565</v>
      </c>
      <c r="C18" s="385">
        <v>304921</v>
      </c>
      <c r="D18" s="385">
        <v>7897645</v>
      </c>
      <c r="E18" s="385">
        <v>1227384</v>
      </c>
      <c r="F18" s="385">
        <v>0</v>
      </c>
      <c r="G18" s="385">
        <v>0</v>
      </c>
      <c r="H18" s="385">
        <v>438110</v>
      </c>
      <c r="I18" s="385">
        <v>9868060</v>
      </c>
    </row>
    <row r="19" spans="1:9" ht="25.5" x14ac:dyDescent="0.2">
      <c r="A19" s="386" t="s">
        <v>525</v>
      </c>
      <c r="B19" s="387" t="s">
        <v>566</v>
      </c>
      <c r="C19" s="388">
        <v>1228221</v>
      </c>
      <c r="D19" s="388">
        <v>55880144</v>
      </c>
      <c r="E19" s="388">
        <v>9016617</v>
      </c>
      <c r="F19" s="388">
        <v>0</v>
      </c>
      <c r="G19" s="388">
        <v>0</v>
      </c>
      <c r="H19" s="388">
        <v>3066769</v>
      </c>
      <c r="I19" s="388">
        <v>69191751</v>
      </c>
    </row>
    <row r="20" spans="1:9" x14ac:dyDescent="0.2">
      <c r="A20" s="386" t="s">
        <v>413</v>
      </c>
      <c r="B20" s="387" t="s">
        <v>567</v>
      </c>
      <c r="C20" s="388">
        <v>1228221</v>
      </c>
      <c r="D20" s="388">
        <v>55880144</v>
      </c>
      <c r="E20" s="388">
        <v>9016617</v>
      </c>
      <c r="F20" s="388">
        <v>0</v>
      </c>
      <c r="G20" s="388">
        <v>0</v>
      </c>
      <c r="H20" s="388">
        <v>3066769</v>
      </c>
      <c r="I20" s="388">
        <v>69191751</v>
      </c>
    </row>
    <row r="21" spans="1:9" x14ac:dyDescent="0.2">
      <c r="A21" s="386" t="s">
        <v>568</v>
      </c>
      <c r="B21" s="387" t="s">
        <v>569</v>
      </c>
      <c r="C21" s="388">
        <v>295779</v>
      </c>
      <c r="D21" s="388">
        <v>254528945</v>
      </c>
      <c r="E21" s="388">
        <v>4833949</v>
      </c>
      <c r="F21" s="388">
        <v>0</v>
      </c>
      <c r="G21" s="388">
        <v>0</v>
      </c>
      <c r="H21" s="388">
        <v>11536880</v>
      </c>
      <c r="I21" s="388">
        <v>271195553</v>
      </c>
    </row>
    <row r="22" spans="1:9" x14ac:dyDescent="0.2">
      <c r="A22" s="383" t="s">
        <v>570</v>
      </c>
      <c r="B22" s="384" t="s">
        <v>571</v>
      </c>
      <c r="C22" s="385">
        <v>600000</v>
      </c>
      <c r="D22" s="385">
        <v>0</v>
      </c>
      <c r="E22" s="385">
        <v>2477444</v>
      </c>
      <c r="F22" s="385">
        <v>0</v>
      </c>
      <c r="G22" s="385">
        <v>0</v>
      </c>
      <c r="H22" s="385">
        <v>0</v>
      </c>
      <c r="I22" s="385">
        <v>3077444</v>
      </c>
    </row>
  </sheetData>
  <mergeCells count="4">
    <mergeCell ref="A5:I5"/>
    <mergeCell ref="A2:I2"/>
    <mergeCell ref="A1:I1"/>
    <mergeCell ref="A3:I3"/>
  </mergeCells>
  <pageMargins left="0.75" right="0.75" top="1" bottom="1" header="0.5" footer="0.5"/>
  <pageSetup scale="62" orientation="landscape" horizontalDpi="300" verticalDpi="300" r:id="rId1"/>
  <headerFooter alignWithMargins="0">
    <oddHeader>&amp;C&amp;L&amp;RÉrték típus: Forint</oddHeader>
    <oddFooter>&amp;C&amp;LAdatellenőrző kód: -76-1d622a-577-57-5b-3f111e-6d7b-65f5c42567614&amp;R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8"/>
  <sheetViews>
    <sheetView view="pageBreakPreview" zoomScale="80" zoomScaleNormal="70" zoomScaleSheetLayoutView="80" workbookViewId="0">
      <pane ySplit="7" topLeftCell="A8" activePane="bottomLeft" state="frozen"/>
      <selection pane="bottomLeft" activeCell="G19" sqref="G19"/>
    </sheetView>
  </sheetViews>
  <sheetFormatPr defaultRowHeight="12.75" x14ac:dyDescent="0.2"/>
  <cols>
    <col min="1" max="1" width="8.28515625" style="371" customWidth="1"/>
    <col min="2" max="2" width="40.28515625" style="371" customWidth="1"/>
    <col min="3" max="12" width="20.7109375" style="371" customWidth="1"/>
    <col min="13" max="256" width="8.85546875" style="371"/>
    <col min="257" max="257" width="8.28515625" style="371" customWidth="1"/>
    <col min="258" max="258" width="41" style="371" customWidth="1"/>
    <col min="259" max="268" width="32.7109375" style="371" customWidth="1"/>
    <col min="269" max="512" width="8.85546875" style="371"/>
    <col min="513" max="513" width="8.28515625" style="371" customWidth="1"/>
    <col min="514" max="514" width="41" style="371" customWidth="1"/>
    <col min="515" max="524" width="32.7109375" style="371" customWidth="1"/>
    <col min="525" max="768" width="8.85546875" style="371"/>
    <col min="769" max="769" width="8.28515625" style="371" customWidth="1"/>
    <col min="770" max="770" width="41" style="371" customWidth="1"/>
    <col min="771" max="780" width="32.7109375" style="371" customWidth="1"/>
    <col min="781" max="1024" width="8.85546875" style="371"/>
    <col min="1025" max="1025" width="8.28515625" style="371" customWidth="1"/>
    <col min="1026" max="1026" width="41" style="371" customWidth="1"/>
    <col min="1027" max="1036" width="32.7109375" style="371" customWidth="1"/>
    <col min="1037" max="1280" width="8.85546875" style="371"/>
    <col min="1281" max="1281" width="8.28515625" style="371" customWidth="1"/>
    <col min="1282" max="1282" width="41" style="371" customWidth="1"/>
    <col min="1283" max="1292" width="32.7109375" style="371" customWidth="1"/>
    <col min="1293" max="1536" width="8.85546875" style="371"/>
    <col min="1537" max="1537" width="8.28515625" style="371" customWidth="1"/>
    <col min="1538" max="1538" width="41" style="371" customWidth="1"/>
    <col min="1539" max="1548" width="32.7109375" style="371" customWidth="1"/>
    <col min="1549" max="1792" width="8.85546875" style="371"/>
    <col min="1793" max="1793" width="8.28515625" style="371" customWidth="1"/>
    <col min="1794" max="1794" width="41" style="371" customWidth="1"/>
    <col min="1795" max="1804" width="32.7109375" style="371" customWidth="1"/>
    <col min="1805" max="2048" width="8.85546875" style="371"/>
    <col min="2049" max="2049" width="8.28515625" style="371" customWidth="1"/>
    <col min="2050" max="2050" width="41" style="371" customWidth="1"/>
    <col min="2051" max="2060" width="32.7109375" style="371" customWidth="1"/>
    <col min="2061" max="2304" width="8.85546875" style="371"/>
    <col min="2305" max="2305" width="8.28515625" style="371" customWidth="1"/>
    <col min="2306" max="2306" width="41" style="371" customWidth="1"/>
    <col min="2307" max="2316" width="32.7109375" style="371" customWidth="1"/>
    <col min="2317" max="2560" width="8.85546875" style="371"/>
    <col min="2561" max="2561" width="8.28515625" style="371" customWidth="1"/>
    <col min="2562" max="2562" width="41" style="371" customWidth="1"/>
    <col min="2563" max="2572" width="32.7109375" style="371" customWidth="1"/>
    <col min="2573" max="2816" width="8.85546875" style="371"/>
    <col min="2817" max="2817" width="8.28515625" style="371" customWidth="1"/>
    <col min="2818" max="2818" width="41" style="371" customWidth="1"/>
    <col min="2819" max="2828" width="32.7109375" style="371" customWidth="1"/>
    <col min="2829" max="3072" width="8.85546875" style="371"/>
    <col min="3073" max="3073" width="8.28515625" style="371" customWidth="1"/>
    <col min="3074" max="3074" width="41" style="371" customWidth="1"/>
    <col min="3075" max="3084" width="32.7109375" style="371" customWidth="1"/>
    <col min="3085" max="3328" width="8.85546875" style="371"/>
    <col min="3329" max="3329" width="8.28515625" style="371" customWidth="1"/>
    <col min="3330" max="3330" width="41" style="371" customWidth="1"/>
    <col min="3331" max="3340" width="32.7109375" style="371" customWidth="1"/>
    <col min="3341" max="3584" width="8.85546875" style="371"/>
    <col min="3585" max="3585" width="8.28515625" style="371" customWidth="1"/>
    <col min="3586" max="3586" width="41" style="371" customWidth="1"/>
    <col min="3587" max="3596" width="32.7109375" style="371" customWidth="1"/>
    <col min="3597" max="3840" width="8.85546875" style="371"/>
    <col min="3841" max="3841" width="8.28515625" style="371" customWidth="1"/>
    <col min="3842" max="3842" width="41" style="371" customWidth="1"/>
    <col min="3843" max="3852" width="32.7109375" style="371" customWidth="1"/>
    <col min="3853" max="4096" width="8.85546875" style="371"/>
    <col min="4097" max="4097" width="8.28515625" style="371" customWidth="1"/>
    <col min="4098" max="4098" width="41" style="371" customWidth="1"/>
    <col min="4099" max="4108" width="32.7109375" style="371" customWidth="1"/>
    <col min="4109" max="4352" width="8.85546875" style="371"/>
    <col min="4353" max="4353" width="8.28515625" style="371" customWidth="1"/>
    <col min="4354" max="4354" width="41" style="371" customWidth="1"/>
    <col min="4355" max="4364" width="32.7109375" style="371" customWidth="1"/>
    <col min="4365" max="4608" width="8.85546875" style="371"/>
    <col min="4609" max="4609" width="8.28515625" style="371" customWidth="1"/>
    <col min="4610" max="4610" width="41" style="371" customWidth="1"/>
    <col min="4611" max="4620" width="32.7109375" style="371" customWidth="1"/>
    <col min="4621" max="4864" width="8.85546875" style="371"/>
    <col min="4865" max="4865" width="8.28515625" style="371" customWidth="1"/>
    <col min="4866" max="4866" width="41" style="371" customWidth="1"/>
    <col min="4867" max="4876" width="32.7109375" style="371" customWidth="1"/>
    <col min="4877" max="5120" width="8.85546875" style="371"/>
    <col min="5121" max="5121" width="8.28515625" style="371" customWidth="1"/>
    <col min="5122" max="5122" width="41" style="371" customWidth="1"/>
    <col min="5123" max="5132" width="32.7109375" style="371" customWidth="1"/>
    <col min="5133" max="5376" width="8.85546875" style="371"/>
    <col min="5377" max="5377" width="8.28515625" style="371" customWidth="1"/>
    <col min="5378" max="5378" width="41" style="371" customWidth="1"/>
    <col min="5379" max="5388" width="32.7109375" style="371" customWidth="1"/>
    <col min="5389" max="5632" width="8.85546875" style="371"/>
    <col min="5633" max="5633" width="8.28515625" style="371" customWidth="1"/>
    <col min="5634" max="5634" width="41" style="371" customWidth="1"/>
    <col min="5635" max="5644" width="32.7109375" style="371" customWidth="1"/>
    <col min="5645" max="5888" width="8.85546875" style="371"/>
    <col min="5889" max="5889" width="8.28515625" style="371" customWidth="1"/>
    <col min="5890" max="5890" width="41" style="371" customWidth="1"/>
    <col min="5891" max="5900" width="32.7109375" style="371" customWidth="1"/>
    <col min="5901" max="6144" width="8.85546875" style="371"/>
    <col min="6145" max="6145" width="8.28515625" style="371" customWidth="1"/>
    <col min="6146" max="6146" width="41" style="371" customWidth="1"/>
    <col min="6147" max="6156" width="32.7109375" style="371" customWidth="1"/>
    <col min="6157" max="6400" width="8.85546875" style="371"/>
    <col min="6401" max="6401" width="8.28515625" style="371" customWidth="1"/>
    <col min="6402" max="6402" width="41" style="371" customWidth="1"/>
    <col min="6403" max="6412" width="32.7109375" style="371" customWidth="1"/>
    <col min="6413" max="6656" width="8.85546875" style="371"/>
    <col min="6657" max="6657" width="8.28515625" style="371" customWidth="1"/>
    <col min="6658" max="6658" width="41" style="371" customWidth="1"/>
    <col min="6659" max="6668" width="32.7109375" style="371" customWidth="1"/>
    <col min="6669" max="6912" width="8.85546875" style="371"/>
    <col min="6913" max="6913" width="8.28515625" style="371" customWidth="1"/>
    <col min="6914" max="6914" width="41" style="371" customWidth="1"/>
    <col min="6915" max="6924" width="32.7109375" style="371" customWidth="1"/>
    <col min="6925" max="7168" width="8.85546875" style="371"/>
    <col min="7169" max="7169" width="8.28515625" style="371" customWidth="1"/>
    <col min="7170" max="7170" width="41" style="371" customWidth="1"/>
    <col min="7171" max="7180" width="32.7109375" style="371" customWidth="1"/>
    <col min="7181" max="7424" width="8.85546875" style="371"/>
    <col min="7425" max="7425" width="8.28515625" style="371" customWidth="1"/>
    <col min="7426" max="7426" width="41" style="371" customWidth="1"/>
    <col min="7427" max="7436" width="32.7109375" style="371" customWidth="1"/>
    <col min="7437" max="7680" width="8.85546875" style="371"/>
    <col min="7681" max="7681" width="8.28515625" style="371" customWidth="1"/>
    <col min="7682" max="7682" width="41" style="371" customWidth="1"/>
    <col min="7683" max="7692" width="32.7109375" style="371" customWidth="1"/>
    <col min="7693" max="7936" width="8.85546875" style="371"/>
    <col min="7937" max="7937" width="8.28515625" style="371" customWidth="1"/>
    <col min="7938" max="7938" width="41" style="371" customWidth="1"/>
    <col min="7939" max="7948" width="32.7109375" style="371" customWidth="1"/>
    <col min="7949" max="8192" width="8.85546875" style="371"/>
    <col min="8193" max="8193" width="8.28515625" style="371" customWidth="1"/>
    <col min="8194" max="8194" width="41" style="371" customWidth="1"/>
    <col min="8195" max="8204" width="32.7109375" style="371" customWidth="1"/>
    <col min="8205" max="8448" width="8.85546875" style="371"/>
    <col min="8449" max="8449" width="8.28515625" style="371" customWidth="1"/>
    <col min="8450" max="8450" width="41" style="371" customWidth="1"/>
    <col min="8451" max="8460" width="32.7109375" style="371" customWidth="1"/>
    <col min="8461" max="8704" width="8.85546875" style="371"/>
    <col min="8705" max="8705" width="8.28515625" style="371" customWidth="1"/>
    <col min="8706" max="8706" width="41" style="371" customWidth="1"/>
    <col min="8707" max="8716" width="32.7109375" style="371" customWidth="1"/>
    <col min="8717" max="8960" width="8.85546875" style="371"/>
    <col min="8961" max="8961" width="8.28515625" style="371" customWidth="1"/>
    <col min="8962" max="8962" width="41" style="371" customWidth="1"/>
    <col min="8963" max="8972" width="32.7109375" style="371" customWidth="1"/>
    <col min="8973" max="9216" width="8.85546875" style="371"/>
    <col min="9217" max="9217" width="8.28515625" style="371" customWidth="1"/>
    <col min="9218" max="9218" width="41" style="371" customWidth="1"/>
    <col min="9219" max="9228" width="32.7109375" style="371" customWidth="1"/>
    <col min="9229" max="9472" width="8.85546875" style="371"/>
    <col min="9473" max="9473" width="8.28515625" style="371" customWidth="1"/>
    <col min="9474" max="9474" width="41" style="371" customWidth="1"/>
    <col min="9475" max="9484" width="32.7109375" style="371" customWidth="1"/>
    <col min="9485" max="9728" width="8.85546875" style="371"/>
    <col min="9729" max="9729" width="8.28515625" style="371" customWidth="1"/>
    <col min="9730" max="9730" width="41" style="371" customWidth="1"/>
    <col min="9731" max="9740" width="32.7109375" style="371" customWidth="1"/>
    <col min="9741" max="9984" width="8.85546875" style="371"/>
    <col min="9985" max="9985" width="8.28515625" style="371" customWidth="1"/>
    <col min="9986" max="9986" width="41" style="371" customWidth="1"/>
    <col min="9987" max="9996" width="32.7109375" style="371" customWidth="1"/>
    <col min="9997" max="10240" width="8.85546875" style="371"/>
    <col min="10241" max="10241" width="8.28515625" style="371" customWidth="1"/>
    <col min="10242" max="10242" width="41" style="371" customWidth="1"/>
    <col min="10243" max="10252" width="32.7109375" style="371" customWidth="1"/>
    <col min="10253" max="10496" width="8.85546875" style="371"/>
    <col min="10497" max="10497" width="8.28515625" style="371" customWidth="1"/>
    <col min="10498" max="10498" width="41" style="371" customWidth="1"/>
    <col min="10499" max="10508" width="32.7109375" style="371" customWidth="1"/>
    <col min="10509" max="10752" width="8.85546875" style="371"/>
    <col min="10753" max="10753" width="8.28515625" style="371" customWidth="1"/>
    <col min="10754" max="10754" width="41" style="371" customWidth="1"/>
    <col min="10755" max="10764" width="32.7109375" style="371" customWidth="1"/>
    <col min="10765" max="11008" width="8.85546875" style="371"/>
    <col min="11009" max="11009" width="8.28515625" style="371" customWidth="1"/>
    <col min="11010" max="11010" width="41" style="371" customWidth="1"/>
    <col min="11011" max="11020" width="32.7109375" style="371" customWidth="1"/>
    <col min="11021" max="11264" width="8.85546875" style="371"/>
    <col min="11265" max="11265" width="8.28515625" style="371" customWidth="1"/>
    <col min="11266" max="11266" width="41" style="371" customWidth="1"/>
    <col min="11267" max="11276" width="32.7109375" style="371" customWidth="1"/>
    <col min="11277" max="11520" width="8.85546875" style="371"/>
    <col min="11521" max="11521" width="8.28515625" style="371" customWidth="1"/>
    <col min="11522" max="11522" width="41" style="371" customWidth="1"/>
    <col min="11523" max="11532" width="32.7109375" style="371" customWidth="1"/>
    <col min="11533" max="11776" width="8.85546875" style="371"/>
    <col min="11777" max="11777" width="8.28515625" style="371" customWidth="1"/>
    <col min="11778" max="11778" width="41" style="371" customWidth="1"/>
    <col min="11779" max="11788" width="32.7109375" style="371" customWidth="1"/>
    <col min="11789" max="12032" width="8.85546875" style="371"/>
    <col min="12033" max="12033" width="8.28515625" style="371" customWidth="1"/>
    <col min="12034" max="12034" width="41" style="371" customWidth="1"/>
    <col min="12035" max="12044" width="32.7109375" style="371" customWidth="1"/>
    <col min="12045" max="12288" width="8.85546875" style="371"/>
    <col min="12289" max="12289" width="8.28515625" style="371" customWidth="1"/>
    <col min="12290" max="12290" width="41" style="371" customWidth="1"/>
    <col min="12291" max="12300" width="32.7109375" style="371" customWidth="1"/>
    <col min="12301" max="12544" width="8.85546875" style="371"/>
    <col min="12545" max="12545" width="8.28515625" style="371" customWidth="1"/>
    <col min="12546" max="12546" width="41" style="371" customWidth="1"/>
    <col min="12547" max="12556" width="32.7109375" style="371" customWidth="1"/>
    <col min="12557" max="12800" width="8.85546875" style="371"/>
    <col min="12801" max="12801" width="8.28515625" style="371" customWidth="1"/>
    <col min="12802" max="12802" width="41" style="371" customWidth="1"/>
    <col min="12803" max="12812" width="32.7109375" style="371" customWidth="1"/>
    <col min="12813" max="13056" width="8.85546875" style="371"/>
    <col min="13057" max="13057" width="8.28515625" style="371" customWidth="1"/>
    <col min="13058" max="13058" width="41" style="371" customWidth="1"/>
    <col min="13059" max="13068" width="32.7109375" style="371" customWidth="1"/>
    <col min="13069" max="13312" width="8.85546875" style="371"/>
    <col min="13313" max="13313" width="8.28515625" style="371" customWidth="1"/>
    <col min="13314" max="13314" width="41" style="371" customWidth="1"/>
    <col min="13315" max="13324" width="32.7109375" style="371" customWidth="1"/>
    <col min="13325" max="13568" width="8.85546875" style="371"/>
    <col min="13569" max="13569" width="8.28515625" style="371" customWidth="1"/>
    <col min="13570" max="13570" width="41" style="371" customWidth="1"/>
    <col min="13571" max="13580" width="32.7109375" style="371" customWidth="1"/>
    <col min="13581" max="13824" width="8.85546875" style="371"/>
    <col min="13825" max="13825" width="8.28515625" style="371" customWidth="1"/>
    <col min="13826" max="13826" width="41" style="371" customWidth="1"/>
    <col min="13827" max="13836" width="32.7109375" style="371" customWidth="1"/>
    <col min="13837" max="14080" width="8.85546875" style="371"/>
    <col min="14081" max="14081" width="8.28515625" style="371" customWidth="1"/>
    <col min="14082" max="14082" width="41" style="371" customWidth="1"/>
    <col min="14083" max="14092" width="32.7109375" style="371" customWidth="1"/>
    <col min="14093" max="14336" width="8.85546875" style="371"/>
    <col min="14337" max="14337" width="8.28515625" style="371" customWidth="1"/>
    <col min="14338" max="14338" width="41" style="371" customWidth="1"/>
    <col min="14339" max="14348" width="32.7109375" style="371" customWidth="1"/>
    <col min="14349" max="14592" width="8.85546875" style="371"/>
    <col min="14593" max="14593" width="8.28515625" style="371" customWidth="1"/>
    <col min="14594" max="14594" width="41" style="371" customWidth="1"/>
    <col min="14595" max="14604" width="32.7109375" style="371" customWidth="1"/>
    <col min="14605" max="14848" width="8.85546875" style="371"/>
    <col min="14849" max="14849" width="8.28515625" style="371" customWidth="1"/>
    <col min="14850" max="14850" width="41" style="371" customWidth="1"/>
    <col min="14851" max="14860" width="32.7109375" style="371" customWidth="1"/>
    <col min="14861" max="15104" width="8.85546875" style="371"/>
    <col min="15105" max="15105" width="8.28515625" style="371" customWidth="1"/>
    <col min="15106" max="15106" width="41" style="371" customWidth="1"/>
    <col min="15107" max="15116" width="32.7109375" style="371" customWidth="1"/>
    <col min="15117" max="15360" width="8.85546875" style="371"/>
    <col min="15361" max="15361" width="8.28515625" style="371" customWidth="1"/>
    <col min="15362" max="15362" width="41" style="371" customWidth="1"/>
    <col min="15363" max="15372" width="32.7109375" style="371" customWidth="1"/>
    <col min="15373" max="15616" width="8.85546875" style="371"/>
    <col min="15617" max="15617" width="8.28515625" style="371" customWidth="1"/>
    <col min="15618" max="15618" width="41" style="371" customWidth="1"/>
    <col min="15619" max="15628" width="32.7109375" style="371" customWidth="1"/>
    <col min="15629" max="15872" width="8.85546875" style="371"/>
    <col min="15873" max="15873" width="8.28515625" style="371" customWidth="1"/>
    <col min="15874" max="15874" width="41" style="371" customWidth="1"/>
    <col min="15875" max="15884" width="32.7109375" style="371" customWidth="1"/>
    <col min="15885" max="16128" width="8.85546875" style="371"/>
    <col min="16129" max="16129" width="8.28515625" style="371" customWidth="1"/>
    <col min="16130" max="16130" width="41" style="371" customWidth="1"/>
    <col min="16131" max="16140" width="32.7109375" style="371" customWidth="1"/>
    <col min="16141" max="16384" width="8.85546875" style="371"/>
  </cols>
  <sheetData>
    <row r="1" spans="1:12" x14ac:dyDescent="0.2">
      <c r="A1" s="437" t="s">
        <v>604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2" x14ac:dyDescent="0.2">
      <c r="A2" s="438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x14ac:dyDescent="0.2">
      <c r="A3" s="438" t="s">
        <v>150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1:12" x14ac:dyDescent="0.2">
      <c r="A4" s="3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2">
      <c r="A5" s="435" t="s">
        <v>574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6" spans="1:12" ht="75" x14ac:dyDescent="0.2">
      <c r="A6" s="389" t="s">
        <v>390</v>
      </c>
      <c r="B6" s="389" t="s">
        <v>280</v>
      </c>
      <c r="C6" s="389" t="s">
        <v>575</v>
      </c>
      <c r="D6" s="389" t="s">
        <v>154</v>
      </c>
      <c r="E6" s="389" t="s">
        <v>576</v>
      </c>
      <c r="F6" s="389" t="s">
        <v>577</v>
      </c>
      <c r="G6" s="389" t="s">
        <v>578</v>
      </c>
      <c r="H6" s="389" t="s">
        <v>334</v>
      </c>
      <c r="I6" s="389" t="s">
        <v>579</v>
      </c>
      <c r="J6" s="389" t="s">
        <v>580</v>
      </c>
      <c r="K6" s="389" t="s">
        <v>160</v>
      </c>
      <c r="L6" s="389" t="s">
        <v>581</v>
      </c>
    </row>
    <row r="7" spans="1:12" ht="15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  <c r="F7" s="389">
        <v>6</v>
      </c>
      <c r="G7" s="389">
        <v>7</v>
      </c>
      <c r="H7" s="389">
        <v>8</v>
      </c>
      <c r="I7" s="389">
        <v>9</v>
      </c>
      <c r="J7" s="389">
        <v>10</v>
      </c>
      <c r="K7" s="389">
        <v>11</v>
      </c>
      <c r="L7" s="389">
        <v>12</v>
      </c>
    </row>
    <row r="8" spans="1:12" x14ac:dyDescent="0.2">
      <c r="A8" s="383" t="s">
        <v>582</v>
      </c>
      <c r="B8" s="384" t="s">
        <v>583</v>
      </c>
      <c r="C8" s="385">
        <v>1</v>
      </c>
      <c r="D8" s="385">
        <v>2921550</v>
      </c>
      <c r="E8" s="385">
        <v>244671</v>
      </c>
      <c r="F8" s="385">
        <v>0</v>
      </c>
      <c r="G8" s="385">
        <v>285950</v>
      </c>
      <c r="H8" s="385">
        <v>0</v>
      </c>
      <c r="I8" s="385">
        <v>0</v>
      </c>
      <c r="J8" s="385">
        <v>0</v>
      </c>
      <c r="K8" s="385">
        <v>1600</v>
      </c>
      <c r="L8" s="385">
        <v>0</v>
      </c>
    </row>
    <row r="9" spans="1:12" ht="25.5" x14ac:dyDescent="0.2">
      <c r="A9" s="386" t="s">
        <v>584</v>
      </c>
      <c r="B9" s="387" t="s">
        <v>585</v>
      </c>
      <c r="C9" s="388">
        <v>1</v>
      </c>
      <c r="D9" s="388">
        <v>2921550</v>
      </c>
      <c r="E9" s="388">
        <v>244671</v>
      </c>
      <c r="F9" s="388">
        <v>0</v>
      </c>
      <c r="G9" s="388">
        <v>285950</v>
      </c>
      <c r="H9" s="388">
        <v>0</v>
      </c>
      <c r="I9" s="388">
        <v>0</v>
      </c>
      <c r="J9" s="388">
        <v>0</v>
      </c>
      <c r="K9" s="388">
        <v>1600</v>
      </c>
      <c r="L9" s="388">
        <v>0</v>
      </c>
    </row>
    <row r="10" spans="1:12" ht="38.25" x14ac:dyDescent="0.2">
      <c r="A10" s="383" t="s">
        <v>586</v>
      </c>
      <c r="B10" s="384" t="s">
        <v>587</v>
      </c>
      <c r="C10" s="385">
        <v>1</v>
      </c>
      <c r="D10" s="385">
        <v>2373991</v>
      </c>
      <c r="E10" s="385">
        <v>75189</v>
      </c>
      <c r="F10" s="385">
        <v>0</v>
      </c>
      <c r="G10" s="385">
        <v>0</v>
      </c>
      <c r="H10" s="385">
        <v>0</v>
      </c>
      <c r="I10" s="385">
        <v>7280</v>
      </c>
      <c r="J10" s="385">
        <v>0</v>
      </c>
      <c r="K10" s="385">
        <v>27200</v>
      </c>
      <c r="L10" s="385">
        <v>0</v>
      </c>
    </row>
    <row r="11" spans="1:12" x14ac:dyDescent="0.2">
      <c r="A11" s="383" t="s">
        <v>588</v>
      </c>
      <c r="B11" s="384" t="s">
        <v>589</v>
      </c>
      <c r="C11" s="385">
        <v>3</v>
      </c>
      <c r="D11" s="385">
        <v>3494141</v>
      </c>
      <c r="E11" s="385">
        <v>0</v>
      </c>
      <c r="F11" s="385">
        <v>0</v>
      </c>
      <c r="G11" s="385">
        <v>0</v>
      </c>
      <c r="H11" s="385">
        <v>0</v>
      </c>
      <c r="I11" s="385">
        <v>0</v>
      </c>
      <c r="J11" s="385">
        <v>0</v>
      </c>
      <c r="K11" s="385">
        <v>0</v>
      </c>
      <c r="L11" s="385">
        <v>0</v>
      </c>
    </row>
    <row r="12" spans="1:12" ht="25.5" x14ac:dyDescent="0.2">
      <c r="A12" s="386" t="s">
        <v>590</v>
      </c>
      <c r="B12" s="387" t="s">
        <v>591</v>
      </c>
      <c r="C12" s="388">
        <v>4</v>
      </c>
      <c r="D12" s="388">
        <v>5868132</v>
      </c>
      <c r="E12" s="388">
        <v>75189</v>
      </c>
      <c r="F12" s="388">
        <v>0</v>
      </c>
      <c r="G12" s="388">
        <v>0</v>
      </c>
      <c r="H12" s="388">
        <v>0</v>
      </c>
      <c r="I12" s="388">
        <v>7280</v>
      </c>
      <c r="J12" s="388">
        <v>0</v>
      </c>
      <c r="K12" s="388">
        <v>27200</v>
      </c>
      <c r="L12" s="388">
        <v>0</v>
      </c>
    </row>
    <row r="13" spans="1:12" x14ac:dyDescent="0.2">
      <c r="A13" s="383" t="s">
        <v>592</v>
      </c>
      <c r="B13" s="384" t="s">
        <v>593</v>
      </c>
      <c r="C13" s="385">
        <v>1</v>
      </c>
      <c r="D13" s="385">
        <v>0</v>
      </c>
      <c r="E13" s="385">
        <v>0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2069692</v>
      </c>
    </row>
    <row r="14" spans="1:12" ht="25.5" x14ac:dyDescent="0.2">
      <c r="A14" s="383" t="s">
        <v>594</v>
      </c>
      <c r="B14" s="384" t="s">
        <v>595</v>
      </c>
      <c r="C14" s="385">
        <v>3</v>
      </c>
      <c r="D14" s="385">
        <v>0</v>
      </c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85">
        <v>0</v>
      </c>
      <c r="L14" s="385">
        <v>1443870</v>
      </c>
    </row>
    <row r="15" spans="1:12" ht="25.5" x14ac:dyDescent="0.2">
      <c r="A15" s="383" t="s">
        <v>596</v>
      </c>
      <c r="B15" s="384" t="s">
        <v>597</v>
      </c>
      <c r="C15" s="385">
        <v>1</v>
      </c>
      <c r="D15" s="385">
        <v>0</v>
      </c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5">
        <v>0</v>
      </c>
      <c r="L15" s="385">
        <v>846113</v>
      </c>
    </row>
    <row r="16" spans="1:12" ht="25.5" x14ac:dyDescent="0.2">
      <c r="A16" s="386" t="s">
        <v>598</v>
      </c>
      <c r="B16" s="387" t="s">
        <v>599</v>
      </c>
      <c r="C16" s="388">
        <v>5</v>
      </c>
      <c r="D16" s="388">
        <v>0</v>
      </c>
      <c r="E16" s="388">
        <v>0</v>
      </c>
      <c r="F16" s="388">
        <v>0</v>
      </c>
      <c r="G16" s="388">
        <v>0</v>
      </c>
      <c r="H16" s="388">
        <v>0</v>
      </c>
      <c r="I16" s="388">
        <v>0</v>
      </c>
      <c r="J16" s="388">
        <v>0</v>
      </c>
      <c r="K16" s="388">
        <v>0</v>
      </c>
      <c r="L16" s="388">
        <v>4359675</v>
      </c>
    </row>
    <row r="17" spans="1:12" ht="25.5" x14ac:dyDescent="0.2">
      <c r="A17" s="386" t="s">
        <v>600</v>
      </c>
      <c r="B17" s="387" t="s">
        <v>601</v>
      </c>
      <c r="C17" s="388">
        <v>10</v>
      </c>
      <c r="D17" s="388">
        <v>8789682</v>
      </c>
      <c r="E17" s="388">
        <v>319860</v>
      </c>
      <c r="F17" s="388">
        <v>0</v>
      </c>
      <c r="G17" s="388">
        <v>285950</v>
      </c>
      <c r="H17" s="388">
        <v>0</v>
      </c>
      <c r="I17" s="388">
        <v>7280</v>
      </c>
      <c r="J17" s="388">
        <v>0</v>
      </c>
      <c r="K17" s="388">
        <v>28800</v>
      </c>
      <c r="L17" s="388">
        <v>4359675</v>
      </c>
    </row>
    <row r="18" spans="1:12" ht="38.25" x14ac:dyDescent="0.2">
      <c r="A18" s="383" t="s">
        <v>602</v>
      </c>
      <c r="B18" s="384" t="s">
        <v>603</v>
      </c>
      <c r="C18" s="385">
        <v>10</v>
      </c>
      <c r="D18" s="385">
        <v>0</v>
      </c>
      <c r="E18" s="385">
        <v>0</v>
      </c>
      <c r="F18" s="385">
        <v>0</v>
      </c>
      <c r="G18" s="385">
        <v>0</v>
      </c>
      <c r="H18" s="385">
        <v>0</v>
      </c>
      <c r="I18" s="385">
        <v>0</v>
      </c>
      <c r="J18" s="385">
        <v>0</v>
      </c>
      <c r="K18" s="385">
        <v>0</v>
      </c>
      <c r="L18" s="385">
        <v>0</v>
      </c>
    </row>
  </sheetData>
  <mergeCells count="4">
    <mergeCell ref="A5:L5"/>
    <mergeCell ref="A2:L2"/>
    <mergeCell ref="A3:L3"/>
    <mergeCell ref="A1:L1"/>
  </mergeCells>
  <pageMargins left="0.75" right="0.75" top="1" bottom="1" header="0.5" footer="0.5"/>
  <pageSetup scale="47" orientation="landscape" horizontalDpi="300" verticalDpi="300" r:id="rId1"/>
  <headerFooter alignWithMargins="0">
    <oddHeader>&amp;C&amp;L&amp;RÉrték típus: Fő</oddHeader>
    <oddFooter>&amp;C&amp;LAdatellenőrző kód: -76-1d622a-577-57-5b-3f111e-6d7b-65f5c42567614&amp;R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6"/>
  <sheetViews>
    <sheetView view="pageBreakPreview" zoomScale="120" zoomScaleNormal="100" zoomScaleSheetLayoutView="120" workbookViewId="0">
      <pane ySplit="8" topLeftCell="A9" activePane="bottomLeft" state="frozen"/>
      <selection pane="bottomLeft" activeCell="F16" sqref="F16"/>
    </sheetView>
  </sheetViews>
  <sheetFormatPr defaultColWidth="8.85546875" defaultRowHeight="12.75" x14ac:dyDescent="0.2"/>
  <cols>
    <col min="1" max="1" width="8.28515625" style="371" customWidth="1"/>
    <col min="2" max="2" width="41" style="371" customWidth="1"/>
    <col min="3" max="3" width="32.7109375" style="371" customWidth="1"/>
    <col min="4" max="16384" width="8.85546875" style="371"/>
  </cols>
  <sheetData>
    <row r="1" spans="1:3" x14ac:dyDescent="0.2">
      <c r="B1" s="437" t="s">
        <v>609</v>
      </c>
      <c r="C1" s="418"/>
    </row>
    <row r="2" spans="1:3" x14ac:dyDescent="0.2">
      <c r="B2" s="381"/>
      <c r="C2" s="368"/>
    </row>
    <row r="3" spans="1:3" x14ac:dyDescent="0.2">
      <c r="A3" s="438" t="s">
        <v>316</v>
      </c>
      <c r="B3" s="439"/>
      <c r="C3" s="439"/>
    </row>
    <row r="4" spans="1:3" x14ac:dyDescent="0.2">
      <c r="A4" s="438" t="s">
        <v>392</v>
      </c>
      <c r="B4" s="439"/>
      <c r="C4" s="439"/>
    </row>
    <row r="5" spans="1:3" x14ac:dyDescent="0.2">
      <c r="A5" s="382"/>
      <c r="B5" s="83"/>
      <c r="C5" s="83"/>
    </row>
    <row r="6" spans="1:3" x14ac:dyDescent="0.2">
      <c r="A6" s="440" t="s">
        <v>391</v>
      </c>
      <c r="B6" s="432"/>
      <c r="C6" s="432"/>
    </row>
    <row r="7" spans="1:3" ht="15" x14ac:dyDescent="0.2">
      <c r="A7" s="380" t="s">
        <v>390</v>
      </c>
      <c r="B7" s="380" t="s">
        <v>280</v>
      </c>
      <c r="C7" s="380" t="s">
        <v>389</v>
      </c>
    </row>
    <row r="8" spans="1:3" ht="15" x14ac:dyDescent="0.2">
      <c r="A8" s="380">
        <v>1</v>
      </c>
      <c r="B8" s="380">
        <v>2</v>
      </c>
      <c r="C8" s="380">
        <v>3</v>
      </c>
    </row>
    <row r="9" spans="1:3" ht="25.5" x14ac:dyDescent="0.2">
      <c r="A9" s="383" t="s">
        <v>388</v>
      </c>
      <c r="B9" s="384" t="s">
        <v>387</v>
      </c>
      <c r="C9" s="385">
        <v>26788361</v>
      </c>
    </row>
    <row r="10" spans="1:3" ht="25.5" x14ac:dyDescent="0.2">
      <c r="A10" s="383" t="s">
        <v>386</v>
      </c>
      <c r="B10" s="384" t="s">
        <v>385</v>
      </c>
      <c r="C10" s="385">
        <v>57872258</v>
      </c>
    </row>
    <row r="11" spans="1:3" ht="25.5" x14ac:dyDescent="0.2">
      <c r="A11" s="386" t="s">
        <v>384</v>
      </c>
      <c r="B11" s="387" t="s">
        <v>383</v>
      </c>
      <c r="C11" s="388">
        <v>-31083897</v>
      </c>
    </row>
    <row r="12" spans="1:3" ht="25.5" x14ac:dyDescent="0.2">
      <c r="A12" s="383" t="s">
        <v>382</v>
      </c>
      <c r="B12" s="384" t="s">
        <v>381</v>
      </c>
      <c r="C12" s="385">
        <v>32749546</v>
      </c>
    </row>
    <row r="13" spans="1:3" ht="25.5" x14ac:dyDescent="0.2">
      <c r="A13" s="386" t="s">
        <v>378</v>
      </c>
      <c r="B13" s="387" t="s">
        <v>377</v>
      </c>
      <c r="C13" s="388">
        <v>32749546</v>
      </c>
    </row>
    <row r="14" spans="1:3" ht="25.5" x14ac:dyDescent="0.2">
      <c r="A14" s="386" t="s">
        <v>376</v>
      </c>
      <c r="B14" s="387" t="s">
        <v>375</v>
      </c>
      <c r="C14" s="388">
        <v>1665649</v>
      </c>
    </row>
    <row r="15" spans="1:3" x14ac:dyDescent="0.2">
      <c r="A15" s="386" t="s">
        <v>374</v>
      </c>
      <c r="B15" s="387" t="s">
        <v>373</v>
      </c>
      <c r="C15" s="388">
        <v>1665649</v>
      </c>
    </row>
    <row r="16" spans="1:3" ht="25.5" x14ac:dyDescent="0.2">
      <c r="A16" s="386" t="s">
        <v>372</v>
      </c>
      <c r="B16" s="387" t="s">
        <v>371</v>
      </c>
      <c r="C16" s="388">
        <v>1665649</v>
      </c>
    </row>
  </sheetData>
  <mergeCells count="4">
    <mergeCell ref="A6:C6"/>
    <mergeCell ref="B1:C1"/>
    <mergeCell ref="A3:C3"/>
    <mergeCell ref="A4:C4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-7475-6d3b-2c60122332205773-17-531752-76-4e2b45&amp;R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view="pageBreakPreview" zoomScale="110" zoomScaleNormal="110" zoomScaleSheetLayoutView="110" workbookViewId="0">
      <selection activeCell="E20" sqref="E20"/>
    </sheetView>
  </sheetViews>
  <sheetFormatPr defaultColWidth="9.140625" defaultRowHeight="15.75" x14ac:dyDescent="0.25"/>
  <cols>
    <col min="1" max="1" width="4" style="4" customWidth="1"/>
    <col min="2" max="2" width="4.42578125" style="4" customWidth="1"/>
    <col min="3" max="3" width="6.42578125" style="4" customWidth="1"/>
    <col min="4" max="4" width="2.5703125" style="4" customWidth="1"/>
    <col min="5" max="5" width="68.7109375" style="4" customWidth="1"/>
    <col min="6" max="6" width="16.7109375" style="3" customWidth="1"/>
    <col min="7" max="8" width="15.5703125" style="4" customWidth="1"/>
    <col min="9" max="9" width="15.7109375" style="4" customWidth="1"/>
    <col min="10" max="16384" width="9.140625" style="4"/>
  </cols>
  <sheetData>
    <row r="1" spans="1:10" x14ac:dyDescent="0.25">
      <c r="A1" s="399" t="s">
        <v>359</v>
      </c>
      <c r="B1" s="399"/>
      <c r="C1" s="399"/>
      <c r="D1" s="399"/>
      <c r="E1" s="399"/>
      <c r="F1" s="399"/>
      <c r="G1" s="399"/>
      <c r="H1" s="394"/>
      <c r="I1" s="394"/>
    </row>
    <row r="2" spans="1:10" s="27" customFormat="1" ht="16.5" customHeight="1" x14ac:dyDescent="0.25">
      <c r="A2" s="399"/>
      <c r="B2" s="399"/>
      <c r="C2" s="399"/>
      <c r="D2" s="399"/>
      <c r="E2" s="399"/>
      <c r="F2" s="399"/>
      <c r="G2" s="399"/>
    </row>
    <row r="3" spans="1:10" s="27" customFormat="1" ht="16.5" customHeight="1" x14ac:dyDescent="0.25">
      <c r="A3" s="28"/>
      <c r="B3" s="28"/>
      <c r="C3" s="28"/>
      <c r="D3" s="28"/>
      <c r="E3" s="28"/>
      <c r="F3" s="29"/>
      <c r="G3" s="235"/>
    </row>
    <row r="4" spans="1:10" ht="22.5" customHeight="1" x14ac:dyDescent="0.25">
      <c r="A4" s="395" t="s">
        <v>0</v>
      </c>
      <c r="B4" s="395"/>
      <c r="C4" s="395"/>
      <c r="D4" s="395"/>
      <c r="E4" s="395"/>
      <c r="F4" s="395"/>
      <c r="G4" s="395"/>
      <c r="H4" s="394"/>
      <c r="I4" s="394"/>
    </row>
    <row r="5" spans="1:10" ht="18" customHeight="1" x14ac:dyDescent="0.25">
      <c r="A5" s="395" t="s">
        <v>40</v>
      </c>
      <c r="B5" s="395"/>
      <c r="C5" s="395"/>
      <c r="D5" s="395"/>
      <c r="E5" s="395"/>
      <c r="F5" s="395"/>
      <c r="G5" s="395"/>
      <c r="H5" s="394"/>
      <c r="I5" s="394"/>
    </row>
    <row r="6" spans="1:10" x14ac:dyDescent="0.25">
      <c r="A6" s="400"/>
      <c r="B6" s="400"/>
      <c r="C6" s="400"/>
      <c r="D6" s="400"/>
      <c r="E6" s="400"/>
      <c r="F6" s="4"/>
      <c r="G6" s="31"/>
    </row>
    <row r="7" spans="1:10" ht="52.15" customHeight="1" x14ac:dyDescent="0.25">
      <c r="A7" s="396" t="s">
        <v>41</v>
      </c>
      <c r="B7" s="396"/>
      <c r="C7" s="396"/>
      <c r="D7" s="396"/>
      <c r="E7" s="396"/>
      <c r="F7" s="32" t="s">
        <v>42</v>
      </c>
      <c r="G7" s="33" t="s">
        <v>3</v>
      </c>
      <c r="H7" s="241" t="s">
        <v>350</v>
      </c>
      <c r="I7" s="242" t="s">
        <v>351</v>
      </c>
    </row>
    <row r="8" spans="1:10" s="9" customFormat="1" ht="25.15" customHeight="1" x14ac:dyDescent="0.25">
      <c r="A8" s="396"/>
      <c r="B8" s="396"/>
      <c r="C8" s="396"/>
      <c r="D8" s="396"/>
      <c r="E8" s="396"/>
      <c r="F8" s="32" t="s">
        <v>4</v>
      </c>
      <c r="G8" s="33" t="s">
        <v>5</v>
      </c>
      <c r="H8" s="242" t="s">
        <v>353</v>
      </c>
      <c r="I8" s="242" t="s">
        <v>352</v>
      </c>
    </row>
    <row r="9" spans="1:10" s="9" customFormat="1" ht="28.5" customHeight="1" x14ac:dyDescent="0.25">
      <c r="A9" s="34" t="s">
        <v>43</v>
      </c>
      <c r="B9" s="34"/>
      <c r="C9" s="34"/>
      <c r="D9" s="34"/>
      <c r="E9" s="34"/>
      <c r="F9" s="35">
        <f t="shared" ref="F9:I11" si="0">SUM(F10)</f>
        <v>490000</v>
      </c>
      <c r="G9" s="35">
        <f t="shared" si="0"/>
        <v>490000</v>
      </c>
      <c r="H9" s="35">
        <f t="shared" si="0"/>
        <v>383156</v>
      </c>
      <c r="I9" s="273">
        <f t="shared" si="0"/>
        <v>0.78195102040816322</v>
      </c>
    </row>
    <row r="10" spans="1:10" s="9" customFormat="1" x14ac:dyDescent="0.25">
      <c r="A10" s="9" t="s">
        <v>11</v>
      </c>
      <c r="B10" s="9" t="s">
        <v>12</v>
      </c>
      <c r="F10" s="36">
        <f t="shared" si="0"/>
        <v>490000</v>
      </c>
      <c r="G10" s="36">
        <f t="shared" si="0"/>
        <v>490000</v>
      </c>
      <c r="H10" s="36">
        <f t="shared" si="0"/>
        <v>383156</v>
      </c>
      <c r="I10" s="271">
        <f>H10/G10</f>
        <v>0.78195102040816322</v>
      </c>
    </row>
    <row r="11" spans="1:10" x14ac:dyDescent="0.25">
      <c r="C11" s="4" t="s">
        <v>44</v>
      </c>
      <c r="D11" s="4" t="s">
        <v>45</v>
      </c>
      <c r="F11" s="37">
        <f t="shared" si="0"/>
        <v>490000</v>
      </c>
      <c r="G11" s="37">
        <f t="shared" si="0"/>
        <v>490000</v>
      </c>
      <c r="H11" s="37">
        <f>SUM(H12:H13)</f>
        <v>383156</v>
      </c>
      <c r="I11" s="271">
        <f t="shared" ref="I11:I12" si="1">H11/G11</f>
        <v>0.78195102040816322</v>
      </c>
    </row>
    <row r="12" spans="1:10" x14ac:dyDescent="0.25">
      <c r="E12" s="4" t="s">
        <v>46</v>
      </c>
      <c r="F12" s="38">
        <v>490000</v>
      </c>
      <c r="G12" s="38">
        <v>490000</v>
      </c>
      <c r="H12" s="38">
        <v>370143</v>
      </c>
      <c r="I12" s="271">
        <f t="shared" si="1"/>
        <v>0.75539387755102039</v>
      </c>
    </row>
    <row r="13" spans="1:10" x14ac:dyDescent="0.25">
      <c r="E13" s="4" t="s">
        <v>45</v>
      </c>
      <c r="F13" s="38"/>
      <c r="G13" s="38"/>
      <c r="H13" s="38">
        <v>13013</v>
      </c>
      <c r="I13" s="271"/>
    </row>
    <row r="14" spans="1:10" ht="37.5" customHeight="1" x14ac:dyDescent="0.25">
      <c r="A14" s="397" t="s">
        <v>47</v>
      </c>
      <c r="B14" s="397"/>
      <c r="C14" s="397"/>
      <c r="D14" s="397"/>
      <c r="E14" s="397"/>
      <c r="F14" s="39">
        <f>SUM(F19+F15)</f>
        <v>66000</v>
      </c>
      <c r="G14" s="39">
        <f>SUM(G19+G15)</f>
        <v>76000</v>
      </c>
      <c r="H14" s="39">
        <f>SUM(H19+H15)</f>
        <v>47763</v>
      </c>
      <c r="I14" s="274">
        <f>H14/G14</f>
        <v>0.62846052631578952</v>
      </c>
    </row>
    <row r="15" spans="1:10" s="9" customFormat="1" x14ac:dyDescent="0.25">
      <c r="A15" s="9" t="s">
        <v>11</v>
      </c>
      <c r="B15" s="9" t="s">
        <v>12</v>
      </c>
      <c r="F15" s="36">
        <f>SUM(F16:F17)</f>
        <v>61000</v>
      </c>
      <c r="G15" s="36">
        <f>SUM(G16:G18)</f>
        <v>71000</v>
      </c>
      <c r="H15" s="36">
        <f>SUM(H16:H18)</f>
        <v>47763</v>
      </c>
      <c r="I15" s="271">
        <f>H15/G15</f>
        <v>0.67271830985915493</v>
      </c>
    </row>
    <row r="16" spans="1:10" x14ac:dyDescent="0.25">
      <c r="C16" s="4" t="s">
        <v>44</v>
      </c>
      <c r="D16" s="4" t="s">
        <v>45</v>
      </c>
      <c r="F16" s="37">
        <v>60000</v>
      </c>
      <c r="G16" s="37">
        <v>60000</v>
      </c>
      <c r="H16" s="37">
        <v>42000</v>
      </c>
      <c r="I16" s="271">
        <f t="shared" ref="I16:I20" si="2">H16/G16</f>
        <v>0.7</v>
      </c>
      <c r="J16" s="31"/>
    </row>
    <row r="17" spans="1:10" x14ac:dyDescent="0.25">
      <c r="C17" s="4" t="s">
        <v>48</v>
      </c>
      <c r="D17" s="4" t="s">
        <v>49</v>
      </c>
      <c r="F17" s="37">
        <v>1000</v>
      </c>
      <c r="G17" s="37">
        <v>1000</v>
      </c>
      <c r="H17" s="37">
        <v>26</v>
      </c>
      <c r="I17" s="271">
        <f t="shared" si="2"/>
        <v>2.5999999999999999E-2</v>
      </c>
    </row>
    <row r="18" spans="1:10" x14ac:dyDescent="0.25">
      <c r="C18" s="4" t="s">
        <v>50</v>
      </c>
      <c r="D18" s="4" t="s">
        <v>51</v>
      </c>
      <c r="F18" s="37">
        <v>0</v>
      </c>
      <c r="G18" s="37">
        <v>10000</v>
      </c>
      <c r="H18" s="37">
        <v>5737</v>
      </c>
      <c r="I18" s="271">
        <f t="shared" si="2"/>
        <v>0.57369999999999999</v>
      </c>
    </row>
    <row r="19" spans="1:10" s="9" customFormat="1" x14ac:dyDescent="0.25">
      <c r="A19" s="9" t="s">
        <v>13</v>
      </c>
      <c r="B19" s="9" t="s">
        <v>14</v>
      </c>
      <c r="F19" s="41">
        <f>SUM(F20)</f>
        <v>5000</v>
      </c>
      <c r="G19" s="41">
        <f>SUM(G20)</f>
        <v>5000</v>
      </c>
      <c r="H19" s="41">
        <f>SUM(H20)</f>
        <v>0</v>
      </c>
      <c r="I19" s="271">
        <f t="shared" si="2"/>
        <v>0</v>
      </c>
      <c r="J19" s="43"/>
    </row>
    <row r="20" spans="1:10" x14ac:dyDescent="0.25">
      <c r="B20" s="4" t="s">
        <v>52</v>
      </c>
      <c r="D20" s="4" t="s">
        <v>53</v>
      </c>
      <c r="F20" s="37">
        <v>5000</v>
      </c>
      <c r="G20" s="37">
        <v>5000</v>
      </c>
      <c r="H20" s="37">
        <v>0</v>
      </c>
      <c r="I20" s="271">
        <f t="shared" si="2"/>
        <v>0</v>
      </c>
      <c r="J20" s="31"/>
    </row>
    <row r="21" spans="1:10" ht="32.25" customHeight="1" x14ac:dyDescent="0.25">
      <c r="A21" s="397" t="s">
        <v>54</v>
      </c>
      <c r="B21" s="397"/>
      <c r="C21" s="397"/>
      <c r="D21" s="397"/>
      <c r="E21" s="397"/>
      <c r="F21" s="39">
        <f t="shared" ref="F21:I24" si="3">SUM(F22)</f>
        <v>27275676</v>
      </c>
      <c r="G21" s="39">
        <f t="shared" si="3"/>
        <v>27275676</v>
      </c>
      <c r="H21" s="39">
        <f t="shared" si="3"/>
        <v>27275676</v>
      </c>
      <c r="I21" s="274">
        <f t="shared" si="3"/>
        <v>1</v>
      </c>
    </row>
    <row r="22" spans="1:10" s="9" customFormat="1" x14ac:dyDescent="0.25">
      <c r="A22" s="9" t="s">
        <v>18</v>
      </c>
      <c r="B22" s="9" t="s">
        <v>19</v>
      </c>
      <c r="F22" s="36">
        <f t="shared" si="3"/>
        <v>27275676</v>
      </c>
      <c r="G22" s="36">
        <f t="shared" si="3"/>
        <v>27275676</v>
      </c>
      <c r="H22" s="36">
        <f t="shared" si="3"/>
        <v>27275676</v>
      </c>
      <c r="I22" s="271">
        <f>G22/H22</f>
        <v>1</v>
      </c>
    </row>
    <row r="23" spans="1:10" x14ac:dyDescent="0.25">
      <c r="B23" s="4" t="s">
        <v>55</v>
      </c>
      <c r="D23" s="4" t="s">
        <v>56</v>
      </c>
      <c r="F23" s="3">
        <f t="shared" si="3"/>
        <v>27275676</v>
      </c>
      <c r="G23" s="3">
        <f t="shared" si="3"/>
        <v>27275676</v>
      </c>
      <c r="H23" s="3">
        <f t="shared" si="3"/>
        <v>27275676</v>
      </c>
      <c r="I23" s="271">
        <f t="shared" ref="I23:I25" si="4">G23/H23</f>
        <v>1</v>
      </c>
    </row>
    <row r="24" spans="1:10" x14ac:dyDescent="0.25">
      <c r="C24" s="4" t="s">
        <v>57</v>
      </c>
      <c r="D24" s="4" t="s">
        <v>58</v>
      </c>
      <c r="F24" s="37">
        <f t="shared" si="3"/>
        <v>27275676</v>
      </c>
      <c r="G24" s="37">
        <f t="shared" si="3"/>
        <v>27275676</v>
      </c>
      <c r="H24" s="37">
        <f t="shared" si="3"/>
        <v>27275676</v>
      </c>
      <c r="I24" s="271">
        <f t="shared" si="4"/>
        <v>1</v>
      </c>
    </row>
    <row r="25" spans="1:10" x14ac:dyDescent="0.25">
      <c r="C25" s="4" t="s">
        <v>59</v>
      </c>
      <c r="E25" s="4" t="s">
        <v>60</v>
      </c>
      <c r="F25" s="37">
        <v>27275676</v>
      </c>
      <c r="G25" s="37">
        <v>27275676</v>
      </c>
      <c r="H25" s="37">
        <v>27275676</v>
      </c>
      <c r="I25" s="271">
        <f t="shared" si="4"/>
        <v>1</v>
      </c>
    </row>
    <row r="26" spans="1:10" s="9" customFormat="1" ht="30.75" customHeight="1" x14ac:dyDescent="0.25">
      <c r="A26" s="44" t="s">
        <v>61</v>
      </c>
      <c r="B26" s="44"/>
      <c r="C26" s="44"/>
      <c r="D26" s="44"/>
      <c r="E26" s="44"/>
      <c r="F26" s="45">
        <f>SUM(F27)</f>
        <v>9150000</v>
      </c>
      <c r="G26" s="45">
        <f>SUM(G27)</f>
        <v>10675151</v>
      </c>
      <c r="H26" s="45">
        <f>SUM(H27)</f>
        <v>9849976</v>
      </c>
      <c r="I26" s="274">
        <f>SUM(I27)</f>
        <v>0.92270132759714596</v>
      </c>
    </row>
    <row r="27" spans="1:10" s="9" customFormat="1" x14ac:dyDescent="0.25">
      <c r="A27" s="9" t="s">
        <v>9</v>
      </c>
      <c r="B27" s="9" t="s">
        <v>10</v>
      </c>
      <c r="F27" s="36">
        <f>SUM(F28+F31+F38)</f>
        <v>9150000</v>
      </c>
      <c r="G27" s="36">
        <f>SUM(G28+G31+G38)</f>
        <v>10675151</v>
      </c>
      <c r="H27" s="36">
        <f>SUM(H28+H31+H38)</f>
        <v>9849976</v>
      </c>
      <c r="I27" s="271">
        <f>H27/G27</f>
        <v>0.92270132759714596</v>
      </c>
    </row>
    <row r="28" spans="1:10" x14ac:dyDescent="0.25">
      <c r="B28" s="4" t="s">
        <v>62</v>
      </c>
      <c r="D28" s="4" t="s">
        <v>63</v>
      </c>
      <c r="F28" s="46">
        <f>SUM(F29:F30)</f>
        <v>3000000</v>
      </c>
      <c r="G28" s="46">
        <f>SUM(G29:G30)</f>
        <v>4374596</v>
      </c>
      <c r="H28" s="46">
        <f>SUM(H29:H30)</f>
        <v>4374596</v>
      </c>
      <c r="I28" s="271">
        <f t="shared" ref="I28:I39" si="5">H28/G28</f>
        <v>1</v>
      </c>
    </row>
    <row r="29" spans="1:10" x14ac:dyDescent="0.25">
      <c r="E29" s="4" t="s">
        <v>64</v>
      </c>
      <c r="F29" s="38">
        <v>1500000</v>
      </c>
      <c r="G29" s="38">
        <v>2495997</v>
      </c>
      <c r="H29" s="38">
        <v>2495997</v>
      </c>
      <c r="I29" s="271">
        <f t="shared" si="5"/>
        <v>1</v>
      </c>
    </row>
    <row r="30" spans="1:10" x14ac:dyDescent="0.25">
      <c r="A30" s="9"/>
      <c r="B30" s="9"/>
      <c r="C30" s="9"/>
      <c r="D30" s="9"/>
      <c r="E30" s="4" t="s">
        <v>65</v>
      </c>
      <c r="F30" s="38">
        <v>1500000</v>
      </c>
      <c r="G30" s="38">
        <v>1878599</v>
      </c>
      <c r="H30" s="38">
        <v>1878599</v>
      </c>
      <c r="I30" s="271">
        <f t="shared" si="5"/>
        <v>1</v>
      </c>
    </row>
    <row r="31" spans="1:10" x14ac:dyDescent="0.25">
      <c r="A31" s="9"/>
      <c r="B31" s="4" t="s">
        <v>66</v>
      </c>
      <c r="D31" s="4" t="s">
        <v>67</v>
      </c>
      <c r="F31" s="3">
        <f>SUM(F32+F34+F36)</f>
        <v>6000000</v>
      </c>
      <c r="G31" s="3">
        <f>SUM(G32+G34+G36)</f>
        <v>6150555</v>
      </c>
      <c r="H31" s="3">
        <f>SUM(H32+H34+H36)</f>
        <v>5392811</v>
      </c>
      <c r="I31" s="271">
        <f t="shared" si="5"/>
        <v>0.87680071148050864</v>
      </c>
    </row>
    <row r="32" spans="1:10" x14ac:dyDescent="0.25">
      <c r="A32" s="9"/>
      <c r="C32" s="4" t="s">
        <v>68</v>
      </c>
      <c r="D32" s="4" t="s">
        <v>69</v>
      </c>
      <c r="F32" s="46">
        <f>SUM(F33)</f>
        <v>5000000</v>
      </c>
      <c r="G32" s="46">
        <f>SUM(G33)</f>
        <v>5000000</v>
      </c>
      <c r="H32" s="46">
        <f>SUM(H33)</f>
        <v>4242256</v>
      </c>
      <c r="I32" s="271">
        <f t="shared" si="5"/>
        <v>0.84845119999999996</v>
      </c>
    </row>
    <row r="33" spans="1:9" x14ac:dyDescent="0.25">
      <c r="A33" s="9"/>
      <c r="E33" s="4" t="s">
        <v>70</v>
      </c>
      <c r="F33" s="38">
        <v>5000000</v>
      </c>
      <c r="G33" s="38">
        <v>5000000</v>
      </c>
      <c r="H33" s="38">
        <v>4242256</v>
      </c>
      <c r="I33" s="271">
        <f t="shared" si="5"/>
        <v>0.84845119999999996</v>
      </c>
    </row>
    <row r="34" spans="1:9" x14ac:dyDescent="0.25">
      <c r="A34" s="9"/>
      <c r="C34" s="4" t="s">
        <v>71</v>
      </c>
      <c r="D34" s="4" t="s">
        <v>72</v>
      </c>
      <c r="F34" s="46">
        <f>SUM(F35)</f>
        <v>750000</v>
      </c>
      <c r="G34" s="46">
        <f>SUM(G35)</f>
        <v>805955</v>
      </c>
      <c r="H34" s="46">
        <f>SUM(H35)</f>
        <v>805955</v>
      </c>
      <c r="I34" s="271">
        <f t="shared" si="5"/>
        <v>1</v>
      </c>
    </row>
    <row r="35" spans="1:9" x14ac:dyDescent="0.25">
      <c r="A35" s="9"/>
      <c r="E35" s="4" t="s">
        <v>73</v>
      </c>
      <c r="F35" s="38">
        <v>750000</v>
      </c>
      <c r="G35" s="38">
        <v>805955</v>
      </c>
      <c r="H35" s="38">
        <v>805955</v>
      </c>
      <c r="I35" s="271">
        <f t="shared" si="5"/>
        <v>1</v>
      </c>
    </row>
    <row r="36" spans="1:9" x14ac:dyDescent="0.25">
      <c r="A36" s="9"/>
      <c r="C36" s="4" t="s">
        <v>74</v>
      </c>
      <c r="D36" s="4" t="s">
        <v>75</v>
      </c>
      <c r="F36" s="46">
        <f>SUM(F37)</f>
        <v>250000</v>
      </c>
      <c r="G36" s="46">
        <f>SUM(G37)</f>
        <v>344600</v>
      </c>
      <c r="H36" s="46">
        <f>SUM(H37)</f>
        <v>344600</v>
      </c>
      <c r="I36" s="271">
        <f t="shared" si="5"/>
        <v>1</v>
      </c>
    </row>
    <row r="37" spans="1:9" x14ac:dyDescent="0.25">
      <c r="A37" s="9"/>
      <c r="E37" s="4" t="s">
        <v>76</v>
      </c>
      <c r="F37" s="38">
        <v>250000</v>
      </c>
      <c r="G37" s="38">
        <v>344600</v>
      </c>
      <c r="H37" s="38">
        <v>344600</v>
      </c>
      <c r="I37" s="271">
        <f t="shared" si="5"/>
        <v>1</v>
      </c>
    </row>
    <row r="38" spans="1:9" x14ac:dyDescent="0.25">
      <c r="B38" s="4" t="s">
        <v>77</v>
      </c>
      <c r="D38" s="4" t="s">
        <v>78</v>
      </c>
      <c r="F38" s="3">
        <f>SUM(F39:F39)</f>
        <v>150000</v>
      </c>
      <c r="G38" s="3">
        <f>SUM(G39:G39)</f>
        <v>150000</v>
      </c>
      <c r="H38" s="3">
        <f>SUM(H39:H39)</f>
        <v>82569</v>
      </c>
      <c r="I38" s="271">
        <f t="shared" si="5"/>
        <v>0.55045999999999995</v>
      </c>
    </row>
    <row r="39" spans="1:9" x14ac:dyDescent="0.25">
      <c r="E39" s="4" t="s">
        <v>79</v>
      </c>
      <c r="F39" s="38">
        <v>150000</v>
      </c>
      <c r="G39" s="38">
        <v>150000</v>
      </c>
      <c r="H39" s="38">
        <f>50000+32569</f>
        <v>82569</v>
      </c>
      <c r="I39" s="271">
        <f t="shared" si="5"/>
        <v>0.55045999999999995</v>
      </c>
    </row>
    <row r="40" spans="1:9" s="9" customFormat="1" ht="32.25" customHeight="1" x14ac:dyDescent="0.25">
      <c r="A40" s="44" t="s">
        <v>80</v>
      </c>
      <c r="B40" s="44"/>
      <c r="C40" s="44"/>
      <c r="D40" s="44"/>
      <c r="E40" s="44"/>
      <c r="F40" s="39">
        <f t="shared" ref="F40:H41" si="6">SUM(F41)</f>
        <v>50000</v>
      </c>
      <c r="G40" s="39">
        <f t="shared" si="6"/>
        <v>90200</v>
      </c>
      <c r="H40" s="39">
        <f t="shared" si="6"/>
        <v>90200</v>
      </c>
      <c r="I40" s="274">
        <f>H40/G40</f>
        <v>1</v>
      </c>
    </row>
    <row r="41" spans="1:9" s="9" customFormat="1" x14ac:dyDescent="0.25">
      <c r="A41" s="9" t="s">
        <v>11</v>
      </c>
      <c r="B41" s="9" t="s">
        <v>12</v>
      </c>
      <c r="F41" s="41">
        <f t="shared" si="6"/>
        <v>50000</v>
      </c>
      <c r="G41" s="41">
        <f t="shared" si="6"/>
        <v>90200</v>
      </c>
      <c r="H41" s="41">
        <f t="shared" si="6"/>
        <v>90200</v>
      </c>
      <c r="I41" s="271">
        <f>H41/G41</f>
        <v>1</v>
      </c>
    </row>
    <row r="42" spans="1:9" x14ac:dyDescent="0.25">
      <c r="C42" s="4" t="s">
        <v>44</v>
      </c>
      <c r="D42" s="4" t="s">
        <v>45</v>
      </c>
      <c r="F42" s="37">
        <v>50000</v>
      </c>
      <c r="G42" s="37">
        <v>90200</v>
      </c>
      <c r="H42" s="37">
        <v>90200</v>
      </c>
      <c r="I42" s="272">
        <f>H42/G42</f>
        <v>1</v>
      </c>
    </row>
    <row r="43" spans="1:9" s="9" customFormat="1" ht="37.5" customHeight="1" x14ac:dyDescent="0.25">
      <c r="A43" s="44" t="s">
        <v>81</v>
      </c>
      <c r="B43" s="44"/>
      <c r="C43" s="44"/>
      <c r="D43" s="44"/>
      <c r="E43" s="44"/>
      <c r="F43" s="39">
        <f>SUM(F44)</f>
        <v>40340260</v>
      </c>
      <c r="G43" s="39">
        <f>SUM(G44)</f>
        <v>53759426</v>
      </c>
      <c r="H43" s="39">
        <f>SUM(H44)</f>
        <v>53759426</v>
      </c>
      <c r="I43" s="274">
        <f>SUM(I44)</f>
        <v>1</v>
      </c>
    </row>
    <row r="44" spans="1:9" ht="18" customHeight="1" x14ac:dyDescent="0.25">
      <c r="A44" s="9" t="s">
        <v>7</v>
      </c>
      <c r="B44" s="9" t="s">
        <v>8</v>
      </c>
      <c r="C44" s="9"/>
      <c r="D44" s="9"/>
      <c r="E44" s="9"/>
      <c r="F44" s="48">
        <f>SUM(F45)</f>
        <v>40340260</v>
      </c>
      <c r="G44" s="48">
        <f>SUM(G45+G66)</f>
        <v>53759426</v>
      </c>
      <c r="H44" s="48">
        <f>SUM(H45+H66)</f>
        <v>53759426</v>
      </c>
      <c r="I44" s="272">
        <f t="shared" ref="I44:I64" si="7">H44/G44</f>
        <v>1</v>
      </c>
    </row>
    <row r="45" spans="1:9" x14ac:dyDescent="0.25">
      <c r="B45" s="4" t="s">
        <v>82</v>
      </c>
      <c r="D45" s="4" t="s">
        <v>83</v>
      </c>
      <c r="F45" s="37">
        <f>SUM(F46+F57+F64+F65)</f>
        <v>40340260</v>
      </c>
      <c r="G45" s="37">
        <f>SUM(G46+G57+G64+G65)</f>
        <v>53759426</v>
      </c>
      <c r="H45" s="37">
        <f>SUM(H46+H57+H64+H65)</f>
        <v>53759426</v>
      </c>
      <c r="I45" s="272">
        <f t="shared" si="7"/>
        <v>1</v>
      </c>
    </row>
    <row r="46" spans="1:9" s="9" customFormat="1" x14ac:dyDescent="0.25">
      <c r="C46" s="4" t="s">
        <v>84</v>
      </c>
      <c r="D46" s="4" t="s">
        <v>85</v>
      </c>
      <c r="E46" s="4"/>
      <c r="F46" s="41">
        <f>SUM(F47,F52,F53,F54,F55,F56)</f>
        <v>12241260</v>
      </c>
      <c r="G46" s="41">
        <f>SUM(G47,G52,G53,G54,G55,G56)</f>
        <v>12827730</v>
      </c>
      <c r="H46" s="41">
        <f>SUM(H47,H52,H53,H54,H55,H56)</f>
        <v>12827730</v>
      </c>
      <c r="I46" s="272">
        <f t="shared" si="7"/>
        <v>1</v>
      </c>
    </row>
    <row r="47" spans="1:9" s="9" customFormat="1" x14ac:dyDescent="0.25">
      <c r="C47" s="4"/>
      <c r="D47" s="4"/>
      <c r="E47" s="4" t="s">
        <v>86</v>
      </c>
      <c r="F47" s="46">
        <f>SUM(F48:F51)</f>
        <v>4064190</v>
      </c>
      <c r="G47" s="46">
        <f>SUM(G48:G51)</f>
        <v>4064190</v>
      </c>
      <c r="H47" s="46">
        <f>SUM(H48:H51)</f>
        <v>4064190</v>
      </c>
      <c r="I47" s="272">
        <f t="shared" si="7"/>
        <v>1</v>
      </c>
    </row>
    <row r="48" spans="1:9" s="9" customFormat="1" x14ac:dyDescent="0.25">
      <c r="C48" s="4"/>
      <c r="D48" s="4"/>
      <c r="E48" s="4" t="s">
        <v>87</v>
      </c>
      <c r="F48" s="37">
        <v>1121690</v>
      </c>
      <c r="G48" s="37">
        <v>1121690</v>
      </c>
      <c r="H48" s="37">
        <v>1121690</v>
      </c>
      <c r="I48" s="272">
        <f t="shared" si="7"/>
        <v>1</v>
      </c>
    </row>
    <row r="49" spans="3:9" s="9" customFormat="1" x14ac:dyDescent="0.25">
      <c r="C49" s="4"/>
      <c r="D49" s="4"/>
      <c r="E49" s="4" t="s">
        <v>88</v>
      </c>
      <c r="F49" s="37">
        <v>2048000</v>
      </c>
      <c r="G49" s="37">
        <v>2048000</v>
      </c>
      <c r="H49" s="37">
        <v>2048000</v>
      </c>
      <c r="I49" s="272">
        <f t="shared" si="7"/>
        <v>1</v>
      </c>
    </row>
    <row r="50" spans="3:9" s="9" customFormat="1" x14ac:dyDescent="0.25">
      <c r="C50" s="4"/>
      <c r="D50" s="4"/>
      <c r="E50" s="4" t="s">
        <v>89</v>
      </c>
      <c r="F50" s="37">
        <v>100000</v>
      </c>
      <c r="G50" s="37">
        <v>100000</v>
      </c>
      <c r="H50" s="37">
        <v>100000</v>
      </c>
      <c r="I50" s="272">
        <f t="shared" si="7"/>
        <v>1</v>
      </c>
    </row>
    <row r="51" spans="3:9" s="9" customFormat="1" x14ac:dyDescent="0.25">
      <c r="C51" s="4"/>
      <c r="D51" s="4"/>
      <c r="E51" s="4" t="s">
        <v>90</v>
      </c>
      <c r="F51" s="37">
        <v>794500</v>
      </c>
      <c r="G51" s="37">
        <v>794500</v>
      </c>
      <c r="H51" s="37">
        <v>794500</v>
      </c>
      <c r="I51" s="272">
        <f t="shared" si="7"/>
        <v>1</v>
      </c>
    </row>
    <row r="52" spans="3:9" s="9" customFormat="1" x14ac:dyDescent="0.25">
      <c r="C52" s="4"/>
      <c r="D52" s="4"/>
      <c r="E52" s="4" t="s">
        <v>91</v>
      </c>
      <c r="F52" s="46">
        <v>5000000</v>
      </c>
      <c r="G52" s="46">
        <v>5000000</v>
      </c>
      <c r="H52" s="46">
        <v>5000000</v>
      </c>
      <c r="I52" s="272">
        <f t="shared" si="7"/>
        <v>1</v>
      </c>
    </row>
    <row r="53" spans="3:9" s="9" customFormat="1" x14ac:dyDescent="0.25">
      <c r="C53" s="4"/>
      <c r="D53" s="4"/>
      <c r="E53" s="4" t="s">
        <v>92</v>
      </c>
      <c r="F53" s="46">
        <v>94350</v>
      </c>
      <c r="G53" s="46">
        <v>94350</v>
      </c>
      <c r="H53" s="46">
        <v>94350</v>
      </c>
      <c r="I53" s="272">
        <f t="shared" si="7"/>
        <v>1</v>
      </c>
    </row>
    <row r="54" spans="3:9" s="9" customFormat="1" x14ac:dyDescent="0.25">
      <c r="C54" s="4"/>
      <c r="D54" s="4"/>
      <c r="E54" s="4" t="s">
        <v>93</v>
      </c>
      <c r="F54" s="46">
        <v>198716</v>
      </c>
      <c r="G54" s="46">
        <v>198716</v>
      </c>
      <c r="H54" s="46">
        <v>198716</v>
      </c>
      <c r="I54" s="272">
        <f t="shared" si="7"/>
        <v>1</v>
      </c>
    </row>
    <row r="55" spans="3:9" s="9" customFormat="1" x14ac:dyDescent="0.25">
      <c r="C55" s="4"/>
      <c r="D55" s="4"/>
      <c r="E55" s="4" t="s">
        <v>94</v>
      </c>
      <c r="F55" s="46">
        <v>990400</v>
      </c>
      <c r="G55" s="46">
        <v>990400</v>
      </c>
      <c r="H55" s="46">
        <v>990400</v>
      </c>
      <c r="I55" s="272">
        <f t="shared" si="7"/>
        <v>1</v>
      </c>
    </row>
    <row r="56" spans="3:9" s="9" customFormat="1" x14ac:dyDescent="0.25">
      <c r="C56" s="4"/>
      <c r="D56" s="4"/>
      <c r="E56" s="4" t="s">
        <v>95</v>
      </c>
      <c r="F56" s="46">
        <v>1893604</v>
      </c>
      <c r="G56" s="46">
        <v>2480074</v>
      </c>
      <c r="H56" s="46">
        <f>1893604+586470</f>
        <v>2480074</v>
      </c>
      <c r="I56" s="272">
        <f t="shared" si="7"/>
        <v>1</v>
      </c>
    </row>
    <row r="57" spans="3:9" ht="30.75" customHeight="1" x14ac:dyDescent="0.25">
      <c r="C57" s="4" t="s">
        <v>96</v>
      </c>
      <c r="D57" s="398" t="s">
        <v>97</v>
      </c>
      <c r="E57" s="398"/>
      <c r="F57" s="46">
        <f>SUM(F58+F59+F63+F62)</f>
        <v>26299000</v>
      </c>
      <c r="G57" s="46">
        <f t="shared" ref="G57:H57" si="8">SUM(G58+G59+G63+G62)</f>
        <v>38263016</v>
      </c>
      <c r="H57" s="46">
        <f t="shared" si="8"/>
        <v>38263016</v>
      </c>
      <c r="I57" s="272">
        <f t="shared" si="7"/>
        <v>1</v>
      </c>
    </row>
    <row r="58" spans="3:9" ht="15" customHeight="1" x14ac:dyDescent="0.25">
      <c r="D58" s="49"/>
      <c r="E58" s="49" t="s">
        <v>98</v>
      </c>
      <c r="F58" s="50">
        <v>3100000</v>
      </c>
      <c r="G58" s="51">
        <f>3100000+1150000</f>
        <v>4250000</v>
      </c>
      <c r="H58" s="51">
        <f>3100000+1150000</f>
        <v>4250000</v>
      </c>
      <c r="I58" s="272">
        <f t="shared" si="7"/>
        <v>1</v>
      </c>
    </row>
    <row r="59" spans="3:9" ht="15" customHeight="1" x14ac:dyDescent="0.25">
      <c r="D59" s="49"/>
      <c r="E59" s="49" t="s">
        <v>99</v>
      </c>
      <c r="F59" s="52">
        <f>SUM(F60:F61)</f>
        <v>20327000</v>
      </c>
      <c r="G59" s="52">
        <f>SUM(G60:G61)</f>
        <v>27006000</v>
      </c>
      <c r="H59" s="52">
        <f>SUM(H60:H61)</f>
        <v>27006000</v>
      </c>
      <c r="I59" s="272">
        <f t="shared" si="7"/>
        <v>1</v>
      </c>
    </row>
    <row r="60" spans="3:9" ht="15" customHeight="1" x14ac:dyDescent="0.25">
      <c r="D60" s="49"/>
      <c r="E60" s="49" t="s">
        <v>100</v>
      </c>
      <c r="F60" s="50">
        <v>19936000</v>
      </c>
      <c r="G60" s="51">
        <f>19936000+7070000</f>
        <v>27006000</v>
      </c>
      <c r="H60" s="51">
        <f>19936000+7070000</f>
        <v>27006000</v>
      </c>
      <c r="I60" s="272">
        <f t="shared" si="7"/>
        <v>1</v>
      </c>
    </row>
    <row r="61" spans="3:9" ht="15" customHeight="1" x14ac:dyDescent="0.25">
      <c r="D61" s="49"/>
      <c r="E61" s="49" t="s">
        <v>101</v>
      </c>
      <c r="F61" s="50">
        <v>391000</v>
      </c>
      <c r="G61" s="50">
        <v>0</v>
      </c>
      <c r="H61" s="50">
        <v>0</v>
      </c>
      <c r="I61" s="272"/>
    </row>
    <row r="62" spans="3:9" ht="15" customHeight="1" x14ac:dyDescent="0.25">
      <c r="D62" s="49"/>
      <c r="E62" s="49" t="s">
        <v>349</v>
      </c>
      <c r="F62" s="50">
        <v>0</v>
      </c>
      <c r="G62" s="50">
        <v>4135016</v>
      </c>
      <c r="H62" s="50">
        <v>4135016</v>
      </c>
      <c r="I62" s="272">
        <f t="shared" si="7"/>
        <v>1</v>
      </c>
    </row>
    <row r="63" spans="3:9" ht="15" customHeight="1" x14ac:dyDescent="0.25">
      <c r="D63" s="49"/>
      <c r="E63" s="49" t="s">
        <v>103</v>
      </c>
      <c r="F63" s="50">
        <v>2872000</v>
      </c>
      <c r="G63" s="50">
        <v>2872000</v>
      </c>
      <c r="H63" s="50">
        <v>2872000</v>
      </c>
      <c r="I63" s="272">
        <f t="shared" si="7"/>
        <v>1</v>
      </c>
    </row>
    <row r="64" spans="3:9" x14ac:dyDescent="0.25">
      <c r="C64" s="4" t="s">
        <v>104</v>
      </c>
      <c r="D64" s="4" t="s">
        <v>105</v>
      </c>
      <c r="F64" s="37">
        <v>1800000</v>
      </c>
      <c r="G64" s="37">
        <v>1800000</v>
      </c>
      <c r="H64" s="37">
        <v>1800000</v>
      </c>
      <c r="I64" s="272">
        <f t="shared" si="7"/>
        <v>1</v>
      </c>
    </row>
    <row r="65" spans="1:9" x14ac:dyDescent="0.25">
      <c r="C65" s="4" t="s">
        <v>106</v>
      </c>
      <c r="D65" s="4" t="s">
        <v>107</v>
      </c>
      <c r="F65" s="37">
        <v>0</v>
      </c>
      <c r="G65" s="37">
        <v>868680</v>
      </c>
      <c r="H65" s="37">
        <v>868680</v>
      </c>
      <c r="I65" s="272">
        <f>H65/G65</f>
        <v>1</v>
      </c>
    </row>
    <row r="66" spans="1:9" x14ac:dyDescent="0.25">
      <c r="B66" s="4" t="s">
        <v>108</v>
      </c>
      <c r="D66" s="4" t="s">
        <v>109</v>
      </c>
      <c r="F66" s="37">
        <f>F67</f>
        <v>3363804</v>
      </c>
      <c r="G66" s="37">
        <f>G67</f>
        <v>0</v>
      </c>
      <c r="H66" s="37">
        <f>H67</f>
        <v>0</v>
      </c>
      <c r="I66" s="284" t="s">
        <v>363</v>
      </c>
    </row>
    <row r="67" spans="1:9" x14ac:dyDescent="0.25">
      <c r="E67" s="4" t="s">
        <v>110</v>
      </c>
      <c r="F67" s="37">
        <f>'12.Idősek Otthona kiadás'!G17</f>
        <v>3363804</v>
      </c>
      <c r="G67" s="37">
        <v>0</v>
      </c>
      <c r="H67" s="37">
        <v>0</v>
      </c>
      <c r="I67" s="284" t="s">
        <v>363</v>
      </c>
    </row>
    <row r="68" spans="1:9" s="9" customFormat="1" ht="30.75" customHeight="1" x14ac:dyDescent="0.25">
      <c r="A68" s="44" t="s">
        <v>111</v>
      </c>
      <c r="B68" s="44"/>
      <c r="C68" s="44"/>
      <c r="D68" s="44"/>
      <c r="E68" s="44"/>
      <c r="F68" s="53">
        <f t="shared" ref="F68:I69" si="9">SUM(F69)</f>
        <v>3363804</v>
      </c>
      <c r="G68" s="53">
        <f t="shared" si="9"/>
        <v>3890703</v>
      </c>
      <c r="H68" s="53">
        <f t="shared" si="9"/>
        <v>3890703</v>
      </c>
      <c r="I68" s="274">
        <f t="shared" si="9"/>
        <v>1</v>
      </c>
    </row>
    <row r="69" spans="1:9" s="9" customFormat="1" x14ac:dyDescent="0.25">
      <c r="A69" s="9" t="s">
        <v>18</v>
      </c>
      <c r="B69" s="9" t="s">
        <v>19</v>
      </c>
      <c r="E69" s="13"/>
      <c r="F69" s="41">
        <f t="shared" si="9"/>
        <v>3363804</v>
      </c>
      <c r="G69" s="41">
        <f t="shared" si="9"/>
        <v>3890703</v>
      </c>
      <c r="H69" s="41">
        <f t="shared" si="9"/>
        <v>3890703</v>
      </c>
      <c r="I69" s="271">
        <f t="shared" si="9"/>
        <v>1</v>
      </c>
    </row>
    <row r="70" spans="1:9" x14ac:dyDescent="0.25">
      <c r="C70" s="4" t="s">
        <v>113</v>
      </c>
      <c r="D70" s="4" t="s">
        <v>114</v>
      </c>
      <c r="E70" s="11"/>
      <c r="F70" s="38">
        <v>3363804</v>
      </c>
      <c r="G70" s="38">
        <v>3890703</v>
      </c>
      <c r="H70" s="38">
        <v>3890703</v>
      </c>
      <c r="I70" s="272">
        <f>H70/G70</f>
        <v>1</v>
      </c>
    </row>
    <row r="71" spans="1:9" ht="29.45" customHeight="1" x14ac:dyDescent="0.25">
      <c r="A71" s="397" t="s">
        <v>115</v>
      </c>
      <c r="B71" s="397"/>
      <c r="C71" s="397"/>
      <c r="D71" s="397"/>
      <c r="E71" s="397"/>
      <c r="F71" s="39">
        <f>F72</f>
        <v>0</v>
      </c>
      <c r="G71" s="39">
        <f>G72</f>
        <v>11988125</v>
      </c>
      <c r="H71" s="39">
        <f>H72</f>
        <v>11988125</v>
      </c>
      <c r="I71" s="274">
        <f>I72</f>
        <v>1</v>
      </c>
    </row>
    <row r="72" spans="1:9" x14ac:dyDescent="0.25">
      <c r="A72" s="9" t="s">
        <v>16</v>
      </c>
      <c r="B72" s="9" t="s">
        <v>17</v>
      </c>
      <c r="C72" s="9"/>
      <c r="D72" s="9"/>
      <c r="E72" s="9"/>
      <c r="F72" s="36">
        <f>SUM(F73)</f>
        <v>0</v>
      </c>
      <c r="G72" s="36">
        <f>G73</f>
        <v>11988125</v>
      </c>
      <c r="H72" s="36">
        <f>H73</f>
        <v>11988125</v>
      </c>
      <c r="I72" s="271">
        <f>H72/G72</f>
        <v>1</v>
      </c>
    </row>
    <row r="73" spans="1:9" x14ac:dyDescent="0.25">
      <c r="B73" s="4" t="s">
        <v>116</v>
      </c>
      <c r="D73" s="4" t="s">
        <v>117</v>
      </c>
      <c r="F73" s="37">
        <v>0</v>
      </c>
      <c r="G73" s="46">
        <f>G74</f>
        <v>11988125</v>
      </c>
      <c r="H73" s="46">
        <f>H74</f>
        <v>11988125</v>
      </c>
      <c r="I73" s="271">
        <f t="shared" ref="I73:I76" si="10">H73/G73</f>
        <v>1</v>
      </c>
    </row>
    <row r="74" spans="1:9" x14ac:dyDescent="0.25">
      <c r="C74" s="4" t="s">
        <v>118</v>
      </c>
      <c r="D74" s="4" t="s">
        <v>119</v>
      </c>
      <c r="F74" s="37"/>
      <c r="G74" s="37">
        <f>SUM(G75:G76)</f>
        <v>11988125</v>
      </c>
      <c r="H74" s="37">
        <f>SUM(H75:H76)</f>
        <v>11988125</v>
      </c>
      <c r="I74" s="271">
        <f t="shared" si="10"/>
        <v>1</v>
      </c>
    </row>
    <row r="75" spans="1:9" x14ac:dyDescent="0.25">
      <c r="E75" s="4" t="s">
        <v>120</v>
      </c>
      <c r="F75" s="37"/>
      <c r="G75" s="37">
        <v>3498406</v>
      </c>
      <c r="H75" s="37">
        <v>3498406</v>
      </c>
      <c r="I75" s="271">
        <f t="shared" si="10"/>
        <v>1</v>
      </c>
    </row>
    <row r="76" spans="1:9" x14ac:dyDescent="0.25">
      <c r="E76" s="4" t="s">
        <v>121</v>
      </c>
      <c r="F76" s="37"/>
      <c r="G76" s="37">
        <v>8489719</v>
      </c>
      <c r="H76" s="37">
        <v>8489719</v>
      </c>
      <c r="I76" s="271">
        <f t="shared" si="10"/>
        <v>1</v>
      </c>
    </row>
    <row r="77" spans="1:9" ht="29.45" customHeight="1" x14ac:dyDescent="0.25">
      <c r="A77" s="397" t="s">
        <v>122</v>
      </c>
      <c r="B77" s="397"/>
      <c r="C77" s="397"/>
      <c r="D77" s="397"/>
      <c r="E77" s="397"/>
      <c r="F77" s="39">
        <f>SUM(F84+F80+F78)</f>
        <v>50000</v>
      </c>
      <c r="G77" s="39">
        <f>SUM(G84+G80+G78)</f>
        <v>222499</v>
      </c>
      <c r="H77" s="39">
        <f>SUM(H84+H80+H78)</f>
        <v>175045</v>
      </c>
      <c r="I77" s="274">
        <f>H77/G77</f>
        <v>0.78672263695567168</v>
      </c>
    </row>
    <row r="78" spans="1:9" x14ac:dyDescent="0.25">
      <c r="A78" s="9" t="s">
        <v>16</v>
      </c>
      <c r="B78" s="9" t="s">
        <v>17</v>
      </c>
      <c r="C78" s="9"/>
      <c r="D78" s="9"/>
      <c r="E78" s="9"/>
      <c r="F78" s="36">
        <f>SUM(F79)</f>
        <v>0</v>
      </c>
      <c r="G78" s="36">
        <v>0</v>
      </c>
      <c r="H78" s="36">
        <v>0</v>
      </c>
      <c r="I78" s="278" t="s">
        <v>363</v>
      </c>
    </row>
    <row r="79" spans="1:9" x14ac:dyDescent="0.25">
      <c r="B79" s="4" t="s">
        <v>123</v>
      </c>
      <c r="D79" s="4" t="s">
        <v>117</v>
      </c>
      <c r="F79" s="37">
        <v>0</v>
      </c>
      <c r="G79" s="37">
        <v>0</v>
      </c>
      <c r="H79" s="37">
        <v>0</v>
      </c>
      <c r="I79" s="284" t="s">
        <v>363</v>
      </c>
    </row>
    <row r="80" spans="1:9" x14ac:dyDescent="0.25">
      <c r="A80" s="9" t="s">
        <v>11</v>
      </c>
      <c r="B80" s="9" t="s">
        <v>12</v>
      </c>
      <c r="C80" s="9"/>
      <c r="D80" s="9"/>
      <c r="E80" s="9"/>
      <c r="F80" s="36">
        <f>SUM(F83)</f>
        <v>50000</v>
      </c>
      <c r="G80" s="36">
        <f>SUM(G82:G83)</f>
        <v>122499</v>
      </c>
      <c r="H80" s="36">
        <f>SUM(H81:H83)</f>
        <v>75045</v>
      </c>
      <c r="I80" s="271">
        <f>H80/G80</f>
        <v>0.61261724585506816</v>
      </c>
    </row>
    <row r="81" spans="1:10" x14ac:dyDescent="0.25">
      <c r="A81" s="9"/>
      <c r="B81" s="9"/>
      <c r="C81" s="4" t="s">
        <v>44</v>
      </c>
      <c r="D81" s="4" t="s">
        <v>46</v>
      </c>
      <c r="E81" s="9"/>
      <c r="F81" s="36"/>
      <c r="G81" s="48">
        <v>0</v>
      </c>
      <c r="H81" s="48">
        <v>0</v>
      </c>
      <c r="I81" s="278" t="s">
        <v>363</v>
      </c>
    </row>
    <row r="82" spans="1:10" s="9" customFormat="1" ht="16.149999999999999" customHeight="1" x14ac:dyDescent="0.25">
      <c r="C82" s="4" t="s">
        <v>124</v>
      </c>
      <c r="D82" s="4" t="s">
        <v>125</v>
      </c>
      <c r="E82" s="4"/>
      <c r="F82" s="36">
        <v>0</v>
      </c>
      <c r="G82" s="48">
        <v>72499</v>
      </c>
      <c r="H82" s="48">
        <v>72499</v>
      </c>
      <c r="I82" s="271">
        <f t="shared" ref="I82:I85" si="11">H82/G82</f>
        <v>1</v>
      </c>
    </row>
    <row r="83" spans="1:10" s="9" customFormat="1" x14ac:dyDescent="0.25">
      <c r="A83" s="4"/>
      <c r="B83" s="4"/>
      <c r="C83" s="4" t="s">
        <v>50</v>
      </c>
      <c r="D83" s="4" t="s">
        <v>51</v>
      </c>
      <c r="E83" s="4"/>
      <c r="F83" s="37">
        <v>50000</v>
      </c>
      <c r="G83" s="37">
        <v>50000</v>
      </c>
      <c r="H83" s="37">
        <v>2546</v>
      </c>
      <c r="I83" s="271">
        <f t="shared" si="11"/>
        <v>5.092E-2</v>
      </c>
    </row>
    <row r="84" spans="1:10" x14ac:dyDescent="0.25">
      <c r="A84" s="9" t="s">
        <v>13</v>
      </c>
      <c r="B84" s="9" t="s">
        <v>14</v>
      </c>
      <c r="C84" s="9"/>
      <c r="D84" s="9"/>
      <c r="E84" s="9"/>
      <c r="F84" s="41">
        <v>0</v>
      </c>
      <c r="G84" s="41">
        <f>G85</f>
        <v>100000</v>
      </c>
      <c r="H84" s="41">
        <f>H85</f>
        <v>100000</v>
      </c>
      <c r="I84" s="271">
        <f t="shared" si="11"/>
        <v>1</v>
      </c>
    </row>
    <row r="85" spans="1:10" ht="16.899999999999999" customHeight="1" x14ac:dyDescent="0.25">
      <c r="B85" s="4" t="s">
        <v>52</v>
      </c>
      <c r="D85" s="4" t="s">
        <v>53</v>
      </c>
      <c r="F85" s="37">
        <v>0</v>
      </c>
      <c r="G85" s="37">
        <v>100000</v>
      </c>
      <c r="H85" s="37">
        <v>100000</v>
      </c>
      <c r="I85" s="271">
        <f t="shared" si="11"/>
        <v>1</v>
      </c>
    </row>
    <row r="86" spans="1:10" s="9" customFormat="1" ht="29.45" customHeight="1" x14ac:dyDescent="0.25">
      <c r="A86" s="44" t="s">
        <v>126</v>
      </c>
      <c r="B86" s="34"/>
      <c r="C86" s="34"/>
      <c r="D86" s="34"/>
      <c r="E86" s="34"/>
      <c r="F86" s="39">
        <f t="shared" ref="F86:I87" si="12">SUM(F87)</f>
        <v>4349875.4000000004</v>
      </c>
      <c r="G86" s="39">
        <f t="shared" si="12"/>
        <v>4349875</v>
      </c>
      <c r="H86" s="39">
        <f t="shared" si="12"/>
        <v>3826587</v>
      </c>
      <c r="I86" s="274">
        <f t="shared" si="12"/>
        <v>0.87970045116238971</v>
      </c>
    </row>
    <row r="87" spans="1:10" ht="16.149999999999999" customHeight="1" x14ac:dyDescent="0.25">
      <c r="A87" s="13" t="s">
        <v>7</v>
      </c>
      <c r="B87" s="9" t="s">
        <v>8</v>
      </c>
      <c r="C87" s="13"/>
      <c r="D87" s="54"/>
      <c r="E87" s="41"/>
      <c r="F87" s="36">
        <f t="shared" si="12"/>
        <v>4349875.4000000004</v>
      </c>
      <c r="G87" s="36">
        <f t="shared" si="12"/>
        <v>4349875</v>
      </c>
      <c r="H87" s="36">
        <f t="shared" si="12"/>
        <v>3826587</v>
      </c>
      <c r="I87" s="271">
        <f t="shared" si="12"/>
        <v>0.87970045116238971</v>
      </c>
    </row>
    <row r="88" spans="1:10" ht="16.899999999999999" customHeight="1" x14ac:dyDescent="0.25">
      <c r="A88" s="13"/>
      <c r="B88" s="11" t="s">
        <v>108</v>
      </c>
      <c r="D88" s="4" t="s">
        <v>109</v>
      </c>
      <c r="E88" s="46"/>
      <c r="F88" s="37">
        <f>'5.kiadás'!H148</f>
        <v>4349875.4000000004</v>
      </c>
      <c r="G88" s="37">
        <v>4349875</v>
      </c>
      <c r="H88" s="37">
        <v>3826587</v>
      </c>
      <c r="I88" s="272">
        <f>H88/G88</f>
        <v>0.87970045116238971</v>
      </c>
    </row>
    <row r="89" spans="1:10" ht="29.45" customHeight="1" x14ac:dyDescent="0.25">
      <c r="A89" s="397" t="s">
        <v>127</v>
      </c>
      <c r="B89" s="397"/>
      <c r="C89" s="397"/>
      <c r="D89" s="397"/>
      <c r="E89" s="397"/>
      <c r="F89" s="39">
        <f>SUM(F92)</f>
        <v>100000</v>
      </c>
      <c r="G89" s="39">
        <f>G90+G92</f>
        <v>380443</v>
      </c>
      <c r="H89" s="39">
        <f>H90+H92</f>
        <v>355952</v>
      </c>
      <c r="I89" s="274">
        <f>SUM(I92)</f>
        <v>0.75509000000000004</v>
      </c>
    </row>
    <row r="90" spans="1:10" ht="15.6" customHeight="1" x14ac:dyDescent="0.25">
      <c r="A90" s="13" t="s">
        <v>7</v>
      </c>
      <c r="B90" s="9" t="s">
        <v>8</v>
      </c>
      <c r="C90" s="13"/>
      <c r="D90" s="54"/>
      <c r="E90" s="41"/>
      <c r="F90" s="36">
        <f>F91</f>
        <v>0</v>
      </c>
      <c r="G90" s="36">
        <f>SUM(G91)</f>
        <v>280443</v>
      </c>
      <c r="H90" s="36">
        <f>SUM(H91)</f>
        <v>280443</v>
      </c>
      <c r="I90" s="271">
        <f>H90/G90</f>
        <v>1</v>
      </c>
    </row>
    <row r="91" spans="1:10" ht="15.6" customHeight="1" x14ac:dyDescent="0.25">
      <c r="A91" s="13"/>
      <c r="B91" s="11" t="s">
        <v>108</v>
      </c>
      <c r="D91" s="4" t="s">
        <v>109</v>
      </c>
      <c r="E91" s="46"/>
      <c r="F91" s="37">
        <v>0</v>
      </c>
      <c r="G91" s="37">
        <v>280443</v>
      </c>
      <c r="H91" s="37">
        <v>280443</v>
      </c>
      <c r="I91" s="271">
        <f>H91/G91</f>
        <v>1</v>
      </c>
    </row>
    <row r="92" spans="1:10" ht="15.6" customHeight="1" x14ac:dyDescent="0.25">
      <c r="A92" s="9" t="s">
        <v>11</v>
      </c>
      <c r="B92" s="9" t="s">
        <v>12</v>
      </c>
      <c r="C92" s="9"/>
      <c r="D92" s="9"/>
      <c r="E92" s="9"/>
      <c r="F92" s="36">
        <f>SUM(F93)</f>
        <v>100000</v>
      </c>
      <c r="G92" s="36">
        <f>SUM(G93)</f>
        <v>100000</v>
      </c>
      <c r="H92" s="36">
        <f>SUM(H93:H94)</f>
        <v>75509</v>
      </c>
      <c r="I92" s="271">
        <f>H92/G92</f>
        <v>0.75509000000000004</v>
      </c>
    </row>
    <row r="93" spans="1:10" ht="15.6" customHeight="1" x14ac:dyDescent="0.25">
      <c r="C93" s="4" t="s">
        <v>44</v>
      </c>
      <c r="D93" s="4" t="s">
        <v>45</v>
      </c>
      <c r="F93" s="37">
        <v>100000</v>
      </c>
      <c r="G93" s="37">
        <v>100000</v>
      </c>
      <c r="H93" s="37">
        <v>75500</v>
      </c>
      <c r="I93" s="278">
        <f t="shared" ref="I93" si="13">H93/G93</f>
        <v>0.755</v>
      </c>
    </row>
    <row r="94" spans="1:10" ht="15.6" customHeight="1" x14ac:dyDescent="0.25">
      <c r="C94" s="4" t="s">
        <v>50</v>
      </c>
      <c r="D94" s="4" t="s">
        <v>51</v>
      </c>
      <c r="F94" s="37">
        <v>0</v>
      </c>
      <c r="G94" s="37">
        <v>0</v>
      </c>
      <c r="H94" s="37">
        <v>9</v>
      </c>
      <c r="I94" s="278" t="s">
        <v>363</v>
      </c>
    </row>
    <row r="95" spans="1:10" s="9" customFormat="1" ht="30.75" customHeight="1" x14ac:dyDescent="0.25">
      <c r="A95" s="397" t="s">
        <v>128</v>
      </c>
      <c r="B95" s="397"/>
      <c r="C95" s="397"/>
      <c r="D95" s="397"/>
      <c r="E95" s="397"/>
      <c r="F95" s="39">
        <f t="shared" ref="F95:I96" si="14">F96</f>
        <v>43000</v>
      </c>
      <c r="G95" s="39">
        <f t="shared" si="14"/>
        <v>43000</v>
      </c>
      <c r="H95" s="39">
        <f t="shared" si="14"/>
        <v>0</v>
      </c>
      <c r="I95" s="274">
        <f t="shared" si="14"/>
        <v>0</v>
      </c>
    </row>
    <row r="96" spans="1:10" s="55" customFormat="1" x14ac:dyDescent="0.25">
      <c r="A96" s="13" t="s">
        <v>7</v>
      </c>
      <c r="B96" s="9" t="s">
        <v>8</v>
      </c>
      <c r="C96" s="13"/>
      <c r="D96" s="54"/>
      <c r="E96" s="41"/>
      <c r="F96" s="41">
        <f t="shared" si="14"/>
        <v>43000</v>
      </c>
      <c r="G96" s="41">
        <f t="shared" si="14"/>
        <v>43000</v>
      </c>
      <c r="H96" s="41">
        <f t="shared" si="14"/>
        <v>0</v>
      </c>
      <c r="I96" s="271">
        <f t="shared" si="14"/>
        <v>0</v>
      </c>
      <c r="J96" s="56"/>
    </row>
    <row r="97" spans="1:10" s="55" customFormat="1" x14ac:dyDescent="0.25">
      <c r="A97" s="13"/>
      <c r="B97" s="11" t="s">
        <v>108</v>
      </c>
      <c r="C97" s="4"/>
      <c r="D97" s="4" t="s">
        <v>109</v>
      </c>
      <c r="E97" s="46"/>
      <c r="F97" s="37">
        <v>43000</v>
      </c>
      <c r="G97" s="37">
        <f>G98</f>
        <v>43000</v>
      </c>
      <c r="H97" s="37">
        <v>0</v>
      </c>
      <c r="I97" s="272">
        <v>0</v>
      </c>
      <c r="J97" s="56"/>
    </row>
    <row r="98" spans="1:10" s="55" customFormat="1" x14ac:dyDescent="0.25">
      <c r="A98" s="13"/>
      <c r="B98" s="11"/>
      <c r="C98" s="4"/>
      <c r="D98" s="4"/>
      <c r="E98" s="38" t="s">
        <v>129</v>
      </c>
      <c r="F98" s="37">
        <v>43000</v>
      </c>
      <c r="G98" s="37">
        <v>43000</v>
      </c>
      <c r="H98" s="37">
        <v>0</v>
      </c>
      <c r="I98" s="272">
        <v>0</v>
      </c>
      <c r="J98" s="56"/>
    </row>
    <row r="99" spans="1:10" s="55" customFormat="1" x14ac:dyDescent="0.25">
      <c r="A99" s="44" t="s">
        <v>130</v>
      </c>
      <c r="B99" s="44"/>
      <c r="C99" s="44"/>
      <c r="D99" s="44"/>
      <c r="E99" s="44"/>
      <c r="F99" s="45">
        <f>SUM(F9+F14+F21+F26+F43+F77+F86+F89+F40+F68+F95)</f>
        <v>85278615.400000006</v>
      </c>
      <c r="G99" s="45">
        <f>SUM(G9+G14+G21+G26+G43+G71+G77+G86+G89+G40+G68+G95)</f>
        <v>113241098</v>
      </c>
      <c r="H99" s="45">
        <f>SUM(H9+H14+H21+H26+H43+H71+H77+H86+H89+H40+H68+H95)</f>
        <v>111642609</v>
      </c>
      <c r="I99" s="274">
        <f>H99/G99</f>
        <v>0.98588419727261922</v>
      </c>
      <c r="J99" s="56"/>
    </row>
    <row r="100" spans="1:10" s="55" customFormat="1" x14ac:dyDescent="0.25">
      <c r="A100" s="57" t="s">
        <v>7</v>
      </c>
      <c r="B100" s="58" t="s">
        <v>8</v>
      </c>
      <c r="C100" s="57"/>
      <c r="D100" s="59"/>
      <c r="E100" s="60"/>
      <c r="F100" s="61">
        <f>F87+F44+F96</f>
        <v>44733135.399999999</v>
      </c>
      <c r="G100" s="61">
        <f>G87+G44+G90+G96</f>
        <v>58432744</v>
      </c>
      <c r="H100" s="61">
        <f>H87+H44+H96+H90</f>
        <v>57866456</v>
      </c>
      <c r="I100" s="275">
        <f>H100/G100</f>
        <v>0.99030872142509685</v>
      </c>
      <c r="J100" s="56"/>
    </row>
    <row r="101" spans="1:10" s="55" customFormat="1" x14ac:dyDescent="0.25">
      <c r="A101" s="58" t="s">
        <v>16</v>
      </c>
      <c r="B101" s="58" t="s">
        <v>17</v>
      </c>
      <c r="C101" s="58"/>
      <c r="D101" s="58"/>
      <c r="E101" s="58"/>
      <c r="F101" s="61">
        <f>F72</f>
        <v>0</v>
      </c>
      <c r="G101" s="61">
        <f>G72</f>
        <v>11988125</v>
      </c>
      <c r="H101" s="61">
        <f>H72</f>
        <v>11988125</v>
      </c>
      <c r="I101" s="275">
        <f t="shared" ref="I101:I105" si="15">H101/G101</f>
        <v>1</v>
      </c>
      <c r="J101" s="56"/>
    </row>
    <row r="102" spans="1:10" s="58" customFormat="1" x14ac:dyDescent="0.25">
      <c r="A102" s="58" t="s">
        <v>9</v>
      </c>
      <c r="B102" s="62" t="s">
        <v>10</v>
      </c>
      <c r="C102" s="62"/>
      <c r="D102" s="62"/>
      <c r="E102" s="62"/>
      <c r="F102" s="61">
        <f>F27</f>
        <v>9150000</v>
      </c>
      <c r="G102" s="61">
        <f>G27</f>
        <v>10675151</v>
      </c>
      <c r="H102" s="61">
        <f>H27</f>
        <v>9849976</v>
      </c>
      <c r="I102" s="275">
        <f t="shared" si="15"/>
        <v>0.92270132759714596</v>
      </c>
      <c r="J102" s="63"/>
    </row>
    <row r="103" spans="1:10" x14ac:dyDescent="0.25">
      <c r="A103" s="58" t="s">
        <v>11</v>
      </c>
      <c r="B103" s="62" t="s">
        <v>12</v>
      </c>
      <c r="C103" s="62"/>
      <c r="D103" s="62"/>
      <c r="E103" s="62"/>
      <c r="F103" s="61">
        <f>F10+F15+F41+F80+F93</f>
        <v>751000</v>
      </c>
      <c r="G103" s="61">
        <f>G10+G15+G41+G80+G92</f>
        <v>873699</v>
      </c>
      <c r="H103" s="61">
        <f>H10+H15+H41+H80+H92</f>
        <v>671673</v>
      </c>
      <c r="I103" s="275">
        <f t="shared" si="15"/>
        <v>0.76876933589256713</v>
      </c>
    </row>
    <row r="104" spans="1:10" x14ac:dyDescent="0.25">
      <c r="A104" s="58" t="s">
        <v>13</v>
      </c>
      <c r="B104" s="58" t="s">
        <v>14</v>
      </c>
      <c r="C104" s="58"/>
      <c r="D104" s="58"/>
      <c r="E104" s="58"/>
      <c r="F104" s="61">
        <f>F20</f>
        <v>5000</v>
      </c>
      <c r="G104" s="61">
        <f>G20+G84</f>
        <v>105000</v>
      </c>
      <c r="H104" s="61">
        <f>H20+H84</f>
        <v>100000</v>
      </c>
      <c r="I104" s="275">
        <f t="shared" si="15"/>
        <v>0.95238095238095233</v>
      </c>
    </row>
    <row r="105" spans="1:10" x14ac:dyDescent="0.25">
      <c r="A105" s="58" t="s">
        <v>18</v>
      </c>
      <c r="B105" s="58" t="s">
        <v>19</v>
      </c>
      <c r="C105" s="58"/>
      <c r="D105" s="58"/>
      <c r="E105" s="57"/>
      <c r="F105" s="64">
        <f>F69+F23</f>
        <v>30639480</v>
      </c>
      <c r="G105" s="64">
        <f>G69+G23</f>
        <v>31166379</v>
      </c>
      <c r="H105" s="64">
        <f>H69+H23</f>
        <v>31166379</v>
      </c>
      <c r="I105" s="275">
        <f t="shared" si="15"/>
        <v>1</v>
      </c>
    </row>
    <row r="106" spans="1:10" x14ac:dyDescent="0.25">
      <c r="A106" s="65" t="s">
        <v>130</v>
      </c>
      <c r="B106" s="66"/>
      <c r="C106" s="66"/>
      <c r="D106" s="66"/>
      <c r="E106" s="66"/>
      <c r="F106" s="67">
        <f>SUM(F100:F105)</f>
        <v>85278615.400000006</v>
      </c>
      <c r="G106" s="67">
        <f>SUM(G100:G105)</f>
        <v>113241098</v>
      </c>
      <c r="H106" s="67">
        <f>SUM(H100:H105)</f>
        <v>111642609</v>
      </c>
      <c r="I106" s="276">
        <f>H106/G106</f>
        <v>0.98588419727261922</v>
      </c>
    </row>
    <row r="107" spans="1:10" x14ac:dyDescent="0.25">
      <c r="E107" s="5"/>
      <c r="H107" s="270"/>
    </row>
    <row r="108" spans="1:10" x14ac:dyDescent="0.25">
      <c r="E108" s="5"/>
      <c r="G108" s="3"/>
      <c r="H108" s="277"/>
    </row>
    <row r="109" spans="1:10" x14ac:dyDescent="0.25">
      <c r="E109" s="5"/>
      <c r="G109" s="236"/>
    </row>
  </sheetData>
  <sheetProtection selectLockedCells="1" selectUnlockedCells="1"/>
  <mergeCells count="13">
    <mergeCell ref="A2:G2"/>
    <mergeCell ref="A6:E6"/>
    <mergeCell ref="A4:I4"/>
    <mergeCell ref="A5:I5"/>
    <mergeCell ref="A1:I1"/>
    <mergeCell ref="A7:E8"/>
    <mergeCell ref="A95:E95"/>
    <mergeCell ref="A14:E14"/>
    <mergeCell ref="A21:E21"/>
    <mergeCell ref="D57:E57"/>
    <mergeCell ref="A71:E71"/>
    <mergeCell ref="A77:E77"/>
    <mergeCell ref="A89:E89"/>
  </mergeCells>
  <printOptions headings="1" gridLines="1"/>
  <pageMargins left="0.70866141732283461" right="0.70866141732283461" top="0.55118110236220474" bottom="0.55118110236220474" header="0.31496062992125984" footer="0.31496062992125984"/>
  <pageSetup paperSize="9" scale="57" firstPageNumber="0" orientation="portrait" verticalDpi="300" r:id="rId1"/>
  <headerFooter alignWithMargins="0"/>
  <rowBreaks count="1" manualBreakCount="1">
    <brk id="6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3"/>
  <sheetViews>
    <sheetView view="pageBreakPreview" zoomScale="80" zoomScaleNormal="100" zoomScaleSheetLayoutView="80" workbookViewId="0">
      <pane ySplit="8" topLeftCell="A9" activePane="bottomLeft" state="frozen"/>
      <selection pane="bottomLeft" activeCell="F16" sqref="F16"/>
    </sheetView>
  </sheetViews>
  <sheetFormatPr defaultRowHeight="12.75" x14ac:dyDescent="0.2"/>
  <cols>
    <col min="1" max="1" width="8.28515625" style="371" customWidth="1"/>
    <col min="2" max="2" width="41" style="371" customWidth="1"/>
    <col min="3" max="5" width="20.7109375" style="371" customWidth="1"/>
    <col min="6" max="256" width="8.85546875" style="371"/>
    <col min="257" max="257" width="8.28515625" style="371" customWidth="1"/>
    <col min="258" max="258" width="41" style="371" customWidth="1"/>
    <col min="259" max="261" width="32.7109375" style="371" customWidth="1"/>
    <col min="262" max="512" width="8.85546875" style="371"/>
    <col min="513" max="513" width="8.28515625" style="371" customWidth="1"/>
    <col min="514" max="514" width="41" style="371" customWidth="1"/>
    <col min="515" max="517" width="32.7109375" style="371" customWidth="1"/>
    <col min="518" max="768" width="8.85546875" style="371"/>
    <col min="769" max="769" width="8.28515625" style="371" customWidth="1"/>
    <col min="770" max="770" width="41" style="371" customWidth="1"/>
    <col min="771" max="773" width="32.7109375" style="371" customWidth="1"/>
    <col min="774" max="1024" width="8.85546875" style="371"/>
    <col min="1025" max="1025" width="8.28515625" style="371" customWidth="1"/>
    <col min="1026" max="1026" width="41" style="371" customWidth="1"/>
    <col min="1027" max="1029" width="32.7109375" style="371" customWidth="1"/>
    <col min="1030" max="1280" width="8.85546875" style="371"/>
    <col min="1281" max="1281" width="8.28515625" style="371" customWidth="1"/>
    <col min="1282" max="1282" width="41" style="371" customWidth="1"/>
    <col min="1283" max="1285" width="32.7109375" style="371" customWidth="1"/>
    <col min="1286" max="1536" width="8.85546875" style="371"/>
    <col min="1537" max="1537" width="8.28515625" style="371" customWidth="1"/>
    <col min="1538" max="1538" width="41" style="371" customWidth="1"/>
    <col min="1539" max="1541" width="32.7109375" style="371" customWidth="1"/>
    <col min="1542" max="1792" width="8.85546875" style="371"/>
    <col min="1793" max="1793" width="8.28515625" style="371" customWidth="1"/>
    <col min="1794" max="1794" width="41" style="371" customWidth="1"/>
    <col min="1795" max="1797" width="32.7109375" style="371" customWidth="1"/>
    <col min="1798" max="2048" width="8.85546875" style="371"/>
    <col min="2049" max="2049" width="8.28515625" style="371" customWidth="1"/>
    <col min="2050" max="2050" width="41" style="371" customWidth="1"/>
    <col min="2051" max="2053" width="32.7109375" style="371" customWidth="1"/>
    <col min="2054" max="2304" width="8.85546875" style="371"/>
    <col min="2305" max="2305" width="8.28515625" style="371" customWidth="1"/>
    <col min="2306" max="2306" width="41" style="371" customWidth="1"/>
    <col min="2307" max="2309" width="32.7109375" style="371" customWidth="1"/>
    <col min="2310" max="2560" width="8.85546875" style="371"/>
    <col min="2561" max="2561" width="8.28515625" style="371" customWidth="1"/>
    <col min="2562" max="2562" width="41" style="371" customWidth="1"/>
    <col min="2563" max="2565" width="32.7109375" style="371" customWidth="1"/>
    <col min="2566" max="2816" width="8.85546875" style="371"/>
    <col min="2817" max="2817" width="8.28515625" style="371" customWidth="1"/>
    <col min="2818" max="2818" width="41" style="371" customWidth="1"/>
    <col min="2819" max="2821" width="32.7109375" style="371" customWidth="1"/>
    <col min="2822" max="3072" width="8.85546875" style="371"/>
    <col min="3073" max="3073" width="8.28515625" style="371" customWidth="1"/>
    <col min="3074" max="3074" width="41" style="371" customWidth="1"/>
    <col min="3075" max="3077" width="32.7109375" style="371" customWidth="1"/>
    <col min="3078" max="3328" width="8.85546875" style="371"/>
    <col min="3329" max="3329" width="8.28515625" style="371" customWidth="1"/>
    <col min="3330" max="3330" width="41" style="371" customWidth="1"/>
    <col min="3331" max="3333" width="32.7109375" style="371" customWidth="1"/>
    <col min="3334" max="3584" width="8.85546875" style="371"/>
    <col min="3585" max="3585" width="8.28515625" style="371" customWidth="1"/>
    <col min="3586" max="3586" width="41" style="371" customWidth="1"/>
    <col min="3587" max="3589" width="32.7109375" style="371" customWidth="1"/>
    <col min="3590" max="3840" width="8.85546875" style="371"/>
    <col min="3841" max="3841" width="8.28515625" style="371" customWidth="1"/>
    <col min="3842" max="3842" width="41" style="371" customWidth="1"/>
    <col min="3843" max="3845" width="32.7109375" style="371" customWidth="1"/>
    <col min="3846" max="4096" width="8.85546875" style="371"/>
    <col min="4097" max="4097" width="8.28515625" style="371" customWidth="1"/>
    <col min="4098" max="4098" width="41" style="371" customWidth="1"/>
    <col min="4099" max="4101" width="32.7109375" style="371" customWidth="1"/>
    <col min="4102" max="4352" width="8.85546875" style="371"/>
    <col min="4353" max="4353" width="8.28515625" style="371" customWidth="1"/>
    <col min="4354" max="4354" width="41" style="371" customWidth="1"/>
    <col min="4355" max="4357" width="32.7109375" style="371" customWidth="1"/>
    <col min="4358" max="4608" width="8.85546875" style="371"/>
    <col min="4609" max="4609" width="8.28515625" style="371" customWidth="1"/>
    <col min="4610" max="4610" width="41" style="371" customWidth="1"/>
    <col min="4611" max="4613" width="32.7109375" style="371" customWidth="1"/>
    <col min="4614" max="4864" width="8.85546875" style="371"/>
    <col min="4865" max="4865" width="8.28515625" style="371" customWidth="1"/>
    <col min="4866" max="4866" width="41" style="371" customWidth="1"/>
    <col min="4867" max="4869" width="32.7109375" style="371" customWidth="1"/>
    <col min="4870" max="5120" width="8.85546875" style="371"/>
    <col min="5121" max="5121" width="8.28515625" style="371" customWidth="1"/>
    <col min="5122" max="5122" width="41" style="371" customWidth="1"/>
    <col min="5123" max="5125" width="32.7109375" style="371" customWidth="1"/>
    <col min="5126" max="5376" width="8.85546875" style="371"/>
    <col min="5377" max="5377" width="8.28515625" style="371" customWidth="1"/>
    <col min="5378" max="5378" width="41" style="371" customWidth="1"/>
    <col min="5379" max="5381" width="32.7109375" style="371" customWidth="1"/>
    <col min="5382" max="5632" width="8.85546875" style="371"/>
    <col min="5633" max="5633" width="8.28515625" style="371" customWidth="1"/>
    <col min="5634" max="5634" width="41" style="371" customWidth="1"/>
    <col min="5635" max="5637" width="32.7109375" style="371" customWidth="1"/>
    <col min="5638" max="5888" width="8.85546875" style="371"/>
    <col min="5889" max="5889" width="8.28515625" style="371" customWidth="1"/>
    <col min="5890" max="5890" width="41" style="371" customWidth="1"/>
    <col min="5891" max="5893" width="32.7109375" style="371" customWidth="1"/>
    <col min="5894" max="6144" width="8.85546875" style="371"/>
    <col min="6145" max="6145" width="8.28515625" style="371" customWidth="1"/>
    <col min="6146" max="6146" width="41" style="371" customWidth="1"/>
    <col min="6147" max="6149" width="32.7109375" style="371" customWidth="1"/>
    <col min="6150" max="6400" width="8.85546875" style="371"/>
    <col min="6401" max="6401" width="8.28515625" style="371" customWidth="1"/>
    <col min="6402" max="6402" width="41" style="371" customWidth="1"/>
    <col min="6403" max="6405" width="32.7109375" style="371" customWidth="1"/>
    <col min="6406" max="6656" width="8.85546875" style="371"/>
    <col min="6657" max="6657" width="8.28515625" style="371" customWidth="1"/>
    <col min="6658" max="6658" width="41" style="371" customWidth="1"/>
    <col min="6659" max="6661" width="32.7109375" style="371" customWidth="1"/>
    <col min="6662" max="6912" width="8.85546875" style="371"/>
    <col min="6913" max="6913" width="8.28515625" style="371" customWidth="1"/>
    <col min="6914" max="6914" width="41" style="371" customWidth="1"/>
    <col min="6915" max="6917" width="32.7109375" style="371" customWidth="1"/>
    <col min="6918" max="7168" width="8.85546875" style="371"/>
    <col min="7169" max="7169" width="8.28515625" style="371" customWidth="1"/>
    <col min="7170" max="7170" width="41" style="371" customWidth="1"/>
    <col min="7171" max="7173" width="32.7109375" style="371" customWidth="1"/>
    <col min="7174" max="7424" width="8.85546875" style="371"/>
    <col min="7425" max="7425" width="8.28515625" style="371" customWidth="1"/>
    <col min="7426" max="7426" width="41" style="371" customWidth="1"/>
    <col min="7427" max="7429" width="32.7109375" style="371" customWidth="1"/>
    <col min="7430" max="7680" width="8.85546875" style="371"/>
    <col min="7681" max="7681" width="8.28515625" style="371" customWidth="1"/>
    <col min="7682" max="7682" width="41" style="371" customWidth="1"/>
    <col min="7683" max="7685" width="32.7109375" style="371" customWidth="1"/>
    <col min="7686" max="7936" width="8.85546875" style="371"/>
    <col min="7937" max="7937" width="8.28515625" style="371" customWidth="1"/>
    <col min="7938" max="7938" width="41" style="371" customWidth="1"/>
    <col min="7939" max="7941" width="32.7109375" style="371" customWidth="1"/>
    <col min="7942" max="8192" width="8.85546875" style="371"/>
    <col min="8193" max="8193" width="8.28515625" style="371" customWidth="1"/>
    <col min="8194" max="8194" width="41" style="371" customWidth="1"/>
    <col min="8195" max="8197" width="32.7109375" style="371" customWidth="1"/>
    <col min="8198" max="8448" width="8.85546875" style="371"/>
    <col min="8449" max="8449" width="8.28515625" style="371" customWidth="1"/>
    <col min="8450" max="8450" width="41" style="371" customWidth="1"/>
    <col min="8451" max="8453" width="32.7109375" style="371" customWidth="1"/>
    <col min="8454" max="8704" width="8.85546875" style="371"/>
    <col min="8705" max="8705" width="8.28515625" style="371" customWidth="1"/>
    <col min="8706" max="8706" width="41" style="371" customWidth="1"/>
    <col min="8707" max="8709" width="32.7109375" style="371" customWidth="1"/>
    <col min="8710" max="8960" width="8.85546875" style="371"/>
    <col min="8961" max="8961" width="8.28515625" style="371" customWidth="1"/>
    <col min="8962" max="8962" width="41" style="371" customWidth="1"/>
    <col min="8963" max="8965" width="32.7109375" style="371" customWidth="1"/>
    <col min="8966" max="9216" width="8.85546875" style="371"/>
    <col min="9217" max="9217" width="8.28515625" style="371" customWidth="1"/>
    <col min="9218" max="9218" width="41" style="371" customWidth="1"/>
    <col min="9219" max="9221" width="32.7109375" style="371" customWidth="1"/>
    <col min="9222" max="9472" width="8.85546875" style="371"/>
    <col min="9473" max="9473" width="8.28515625" style="371" customWidth="1"/>
    <col min="9474" max="9474" width="41" style="371" customWidth="1"/>
    <col min="9475" max="9477" width="32.7109375" style="371" customWidth="1"/>
    <col min="9478" max="9728" width="8.85546875" style="371"/>
    <col min="9729" max="9729" width="8.28515625" style="371" customWidth="1"/>
    <col min="9730" max="9730" width="41" style="371" customWidth="1"/>
    <col min="9731" max="9733" width="32.7109375" style="371" customWidth="1"/>
    <col min="9734" max="9984" width="8.85546875" style="371"/>
    <col min="9985" max="9985" width="8.28515625" style="371" customWidth="1"/>
    <col min="9986" max="9986" width="41" style="371" customWidth="1"/>
    <col min="9987" max="9989" width="32.7109375" style="371" customWidth="1"/>
    <col min="9990" max="10240" width="8.85546875" style="371"/>
    <col min="10241" max="10241" width="8.28515625" style="371" customWidth="1"/>
    <col min="10242" max="10242" width="41" style="371" customWidth="1"/>
    <col min="10243" max="10245" width="32.7109375" style="371" customWidth="1"/>
    <col min="10246" max="10496" width="8.85546875" style="371"/>
    <col min="10497" max="10497" width="8.28515625" style="371" customWidth="1"/>
    <col min="10498" max="10498" width="41" style="371" customWidth="1"/>
    <col min="10499" max="10501" width="32.7109375" style="371" customWidth="1"/>
    <col min="10502" max="10752" width="8.85546875" style="371"/>
    <col min="10753" max="10753" width="8.28515625" style="371" customWidth="1"/>
    <col min="10754" max="10754" width="41" style="371" customWidth="1"/>
    <col min="10755" max="10757" width="32.7109375" style="371" customWidth="1"/>
    <col min="10758" max="11008" width="8.85546875" style="371"/>
    <col min="11009" max="11009" width="8.28515625" style="371" customWidth="1"/>
    <col min="11010" max="11010" width="41" style="371" customWidth="1"/>
    <col min="11011" max="11013" width="32.7109375" style="371" customWidth="1"/>
    <col min="11014" max="11264" width="8.85546875" style="371"/>
    <col min="11265" max="11265" width="8.28515625" style="371" customWidth="1"/>
    <col min="11266" max="11266" width="41" style="371" customWidth="1"/>
    <col min="11267" max="11269" width="32.7109375" style="371" customWidth="1"/>
    <col min="11270" max="11520" width="8.85546875" style="371"/>
    <col min="11521" max="11521" width="8.28515625" style="371" customWidth="1"/>
    <col min="11522" max="11522" width="41" style="371" customWidth="1"/>
    <col min="11523" max="11525" width="32.7109375" style="371" customWidth="1"/>
    <col min="11526" max="11776" width="8.85546875" style="371"/>
    <col min="11777" max="11777" width="8.28515625" style="371" customWidth="1"/>
    <col min="11778" max="11778" width="41" style="371" customWidth="1"/>
    <col min="11779" max="11781" width="32.7109375" style="371" customWidth="1"/>
    <col min="11782" max="12032" width="8.85546875" style="371"/>
    <col min="12033" max="12033" width="8.28515625" style="371" customWidth="1"/>
    <col min="12034" max="12034" width="41" style="371" customWidth="1"/>
    <col min="12035" max="12037" width="32.7109375" style="371" customWidth="1"/>
    <col min="12038" max="12288" width="8.85546875" style="371"/>
    <col min="12289" max="12289" width="8.28515625" style="371" customWidth="1"/>
    <col min="12290" max="12290" width="41" style="371" customWidth="1"/>
    <col min="12291" max="12293" width="32.7109375" style="371" customWidth="1"/>
    <col min="12294" max="12544" width="8.85546875" style="371"/>
    <col min="12545" max="12545" width="8.28515625" style="371" customWidth="1"/>
    <col min="12546" max="12546" width="41" style="371" customWidth="1"/>
    <col min="12547" max="12549" width="32.7109375" style="371" customWidth="1"/>
    <col min="12550" max="12800" width="8.85546875" style="371"/>
    <col min="12801" max="12801" width="8.28515625" style="371" customWidth="1"/>
    <col min="12802" max="12802" width="41" style="371" customWidth="1"/>
    <col min="12803" max="12805" width="32.7109375" style="371" customWidth="1"/>
    <col min="12806" max="13056" width="8.85546875" style="371"/>
    <col min="13057" max="13057" width="8.28515625" style="371" customWidth="1"/>
    <col min="13058" max="13058" width="41" style="371" customWidth="1"/>
    <col min="13059" max="13061" width="32.7109375" style="371" customWidth="1"/>
    <col min="13062" max="13312" width="8.85546875" style="371"/>
    <col min="13313" max="13313" width="8.28515625" style="371" customWidth="1"/>
    <col min="13314" max="13314" width="41" style="371" customWidth="1"/>
    <col min="13315" max="13317" width="32.7109375" style="371" customWidth="1"/>
    <col min="13318" max="13568" width="8.85546875" style="371"/>
    <col min="13569" max="13569" width="8.28515625" style="371" customWidth="1"/>
    <col min="13570" max="13570" width="41" style="371" customWidth="1"/>
    <col min="13571" max="13573" width="32.7109375" style="371" customWidth="1"/>
    <col min="13574" max="13824" width="8.85546875" style="371"/>
    <col min="13825" max="13825" width="8.28515625" style="371" customWidth="1"/>
    <col min="13826" max="13826" width="41" style="371" customWidth="1"/>
    <col min="13827" max="13829" width="32.7109375" style="371" customWidth="1"/>
    <col min="13830" max="14080" width="8.85546875" style="371"/>
    <col min="14081" max="14081" width="8.28515625" style="371" customWidth="1"/>
    <col min="14082" max="14082" width="41" style="371" customWidth="1"/>
    <col min="14083" max="14085" width="32.7109375" style="371" customWidth="1"/>
    <col min="14086" max="14336" width="8.85546875" style="371"/>
    <col min="14337" max="14337" width="8.28515625" style="371" customWidth="1"/>
    <col min="14338" max="14338" width="41" style="371" customWidth="1"/>
    <col min="14339" max="14341" width="32.7109375" style="371" customWidth="1"/>
    <col min="14342" max="14592" width="8.85546875" style="371"/>
    <col min="14593" max="14593" width="8.28515625" style="371" customWidth="1"/>
    <col min="14594" max="14594" width="41" style="371" customWidth="1"/>
    <col min="14595" max="14597" width="32.7109375" style="371" customWidth="1"/>
    <col min="14598" max="14848" width="8.85546875" style="371"/>
    <col min="14849" max="14849" width="8.28515625" style="371" customWidth="1"/>
    <col min="14850" max="14850" width="41" style="371" customWidth="1"/>
    <col min="14851" max="14853" width="32.7109375" style="371" customWidth="1"/>
    <col min="14854" max="15104" width="8.85546875" style="371"/>
    <col min="15105" max="15105" width="8.28515625" style="371" customWidth="1"/>
    <col min="15106" max="15106" width="41" style="371" customWidth="1"/>
    <col min="15107" max="15109" width="32.7109375" style="371" customWidth="1"/>
    <col min="15110" max="15360" width="8.85546875" style="371"/>
    <col min="15361" max="15361" width="8.28515625" style="371" customWidth="1"/>
    <col min="15362" max="15362" width="41" style="371" customWidth="1"/>
    <col min="15363" max="15365" width="32.7109375" style="371" customWidth="1"/>
    <col min="15366" max="15616" width="8.85546875" style="371"/>
    <col min="15617" max="15617" width="8.28515625" style="371" customWidth="1"/>
    <col min="15618" max="15618" width="41" style="371" customWidth="1"/>
    <col min="15619" max="15621" width="32.7109375" style="371" customWidth="1"/>
    <col min="15622" max="15872" width="8.85546875" style="371"/>
    <col min="15873" max="15873" width="8.28515625" style="371" customWidth="1"/>
    <col min="15874" max="15874" width="41" style="371" customWidth="1"/>
    <col min="15875" max="15877" width="32.7109375" style="371" customWidth="1"/>
    <col min="15878" max="16128" width="8.85546875" style="371"/>
    <col min="16129" max="16129" width="8.28515625" style="371" customWidth="1"/>
    <col min="16130" max="16130" width="41" style="371" customWidth="1"/>
    <col min="16131" max="16133" width="32.7109375" style="371" customWidth="1"/>
    <col min="16134" max="16384" width="8.85546875" style="371"/>
  </cols>
  <sheetData>
    <row r="1" spans="1:5" x14ac:dyDescent="0.2">
      <c r="A1" s="437" t="s">
        <v>608</v>
      </c>
      <c r="B1" s="418"/>
      <c r="C1" s="418"/>
      <c r="D1" s="418"/>
      <c r="E1" s="418"/>
    </row>
    <row r="2" spans="1:5" x14ac:dyDescent="0.2">
      <c r="A2" s="381"/>
      <c r="B2" s="368"/>
      <c r="C2" s="368"/>
      <c r="D2" s="368"/>
      <c r="E2" s="368"/>
    </row>
    <row r="3" spans="1:5" x14ac:dyDescent="0.2">
      <c r="A3" s="438" t="s">
        <v>316</v>
      </c>
      <c r="B3" s="439"/>
      <c r="C3" s="439"/>
      <c r="D3" s="439"/>
      <c r="E3" s="439"/>
    </row>
    <row r="4" spans="1:5" x14ac:dyDescent="0.2">
      <c r="A4" s="438" t="s">
        <v>506</v>
      </c>
      <c r="B4" s="439"/>
      <c r="C4" s="439"/>
      <c r="D4" s="439"/>
      <c r="E4" s="439"/>
    </row>
    <row r="5" spans="1:5" x14ac:dyDescent="0.2">
      <c r="A5" s="382"/>
      <c r="B5" s="83"/>
      <c r="C5" s="83"/>
      <c r="D5" s="83"/>
      <c r="E5" s="83"/>
    </row>
    <row r="6" spans="1:5" x14ac:dyDescent="0.2">
      <c r="A6" s="435" t="s">
        <v>393</v>
      </c>
      <c r="B6" s="436"/>
      <c r="C6" s="436"/>
      <c r="D6" s="436"/>
      <c r="E6" s="436"/>
    </row>
    <row r="7" spans="1:5" ht="15" x14ac:dyDescent="0.2">
      <c r="A7" s="389" t="s">
        <v>390</v>
      </c>
      <c r="B7" s="389" t="s">
        <v>280</v>
      </c>
      <c r="C7" s="389" t="s">
        <v>394</v>
      </c>
      <c r="D7" s="389" t="s">
        <v>395</v>
      </c>
      <c r="E7" s="389" t="s">
        <v>396</v>
      </c>
    </row>
    <row r="8" spans="1:5" ht="15" x14ac:dyDescent="0.2">
      <c r="A8" s="389">
        <v>1</v>
      </c>
      <c r="B8" s="389">
        <v>2</v>
      </c>
      <c r="C8" s="389">
        <v>3</v>
      </c>
      <c r="D8" s="389">
        <v>4</v>
      </c>
      <c r="E8" s="389">
        <v>5</v>
      </c>
    </row>
    <row r="9" spans="1:5" x14ac:dyDescent="0.2">
      <c r="A9" s="383" t="s">
        <v>419</v>
      </c>
      <c r="B9" s="384" t="s">
        <v>420</v>
      </c>
      <c r="C9" s="385">
        <v>14405</v>
      </c>
      <c r="D9" s="385">
        <v>0</v>
      </c>
      <c r="E9" s="385">
        <v>25395</v>
      </c>
    </row>
    <row r="10" spans="1:5" ht="25.5" x14ac:dyDescent="0.2">
      <c r="A10" s="386" t="s">
        <v>421</v>
      </c>
      <c r="B10" s="387" t="s">
        <v>422</v>
      </c>
      <c r="C10" s="388">
        <v>14405</v>
      </c>
      <c r="D10" s="388">
        <v>0</v>
      </c>
      <c r="E10" s="388">
        <v>25395</v>
      </c>
    </row>
    <row r="11" spans="1:5" x14ac:dyDescent="0.2">
      <c r="A11" s="383" t="s">
        <v>423</v>
      </c>
      <c r="B11" s="384" t="s">
        <v>424</v>
      </c>
      <c r="C11" s="385">
        <v>696926</v>
      </c>
      <c r="D11" s="385">
        <v>0</v>
      </c>
      <c r="E11" s="385">
        <v>1639522</v>
      </c>
    </row>
    <row r="12" spans="1:5" x14ac:dyDescent="0.2">
      <c r="A12" s="386" t="s">
        <v>425</v>
      </c>
      <c r="B12" s="387" t="s">
        <v>426</v>
      </c>
      <c r="C12" s="388">
        <v>696926</v>
      </c>
      <c r="D12" s="388">
        <v>0</v>
      </c>
      <c r="E12" s="388">
        <v>1639522</v>
      </c>
    </row>
    <row r="13" spans="1:5" x14ac:dyDescent="0.2">
      <c r="A13" s="386" t="s">
        <v>427</v>
      </c>
      <c r="B13" s="387" t="s">
        <v>428</v>
      </c>
      <c r="C13" s="388">
        <v>711331</v>
      </c>
      <c r="D13" s="388">
        <v>0</v>
      </c>
      <c r="E13" s="388">
        <v>1664917</v>
      </c>
    </row>
    <row r="14" spans="1:5" ht="38.25" x14ac:dyDescent="0.2">
      <c r="A14" s="383" t="s">
        <v>437</v>
      </c>
      <c r="B14" s="384" t="s">
        <v>438</v>
      </c>
      <c r="C14" s="385">
        <v>1325830</v>
      </c>
      <c r="D14" s="385">
        <v>0</v>
      </c>
      <c r="E14" s="385">
        <v>29950</v>
      </c>
    </row>
    <row r="15" spans="1:5" ht="25.5" x14ac:dyDescent="0.2">
      <c r="A15" s="383" t="s">
        <v>605</v>
      </c>
      <c r="B15" s="384" t="s">
        <v>606</v>
      </c>
      <c r="C15" s="385">
        <v>1325830</v>
      </c>
      <c r="D15" s="385">
        <v>0</v>
      </c>
      <c r="E15" s="385">
        <v>29950</v>
      </c>
    </row>
    <row r="16" spans="1:5" ht="25.5" x14ac:dyDescent="0.2">
      <c r="A16" s="386" t="s">
        <v>445</v>
      </c>
      <c r="B16" s="387" t="s">
        <v>446</v>
      </c>
      <c r="C16" s="388">
        <v>1325830</v>
      </c>
      <c r="D16" s="388">
        <v>0</v>
      </c>
      <c r="E16" s="388">
        <v>29950</v>
      </c>
    </row>
    <row r="17" spans="1:5" x14ac:dyDescent="0.2">
      <c r="A17" s="386" t="s">
        <v>455</v>
      </c>
      <c r="B17" s="387" t="s">
        <v>456</v>
      </c>
      <c r="C17" s="388">
        <v>1325830</v>
      </c>
      <c r="D17" s="388">
        <v>0</v>
      </c>
      <c r="E17" s="388">
        <v>29950</v>
      </c>
    </row>
    <row r="18" spans="1:5" ht="25.5" x14ac:dyDescent="0.2">
      <c r="A18" s="383" t="s">
        <v>457</v>
      </c>
      <c r="B18" s="384" t="s">
        <v>458</v>
      </c>
      <c r="C18" s="385">
        <v>0</v>
      </c>
      <c r="D18" s="385">
        <v>0</v>
      </c>
      <c r="E18" s="385">
        <v>1785</v>
      </c>
    </row>
    <row r="19" spans="1:5" ht="25.5" x14ac:dyDescent="0.2">
      <c r="A19" s="383" t="s">
        <v>459</v>
      </c>
      <c r="B19" s="384" t="s">
        <v>460</v>
      </c>
      <c r="C19" s="385">
        <v>0</v>
      </c>
      <c r="D19" s="385">
        <v>0</v>
      </c>
      <c r="E19" s="385">
        <v>3703984</v>
      </c>
    </row>
    <row r="20" spans="1:5" ht="25.5" x14ac:dyDescent="0.2">
      <c r="A20" s="386" t="s">
        <v>461</v>
      </c>
      <c r="B20" s="387" t="s">
        <v>462</v>
      </c>
      <c r="C20" s="388">
        <v>0</v>
      </c>
      <c r="D20" s="388">
        <v>0</v>
      </c>
      <c r="E20" s="388">
        <v>3705769</v>
      </c>
    </row>
    <row r="21" spans="1:5" ht="25.5" x14ac:dyDescent="0.2">
      <c r="A21" s="386" t="s">
        <v>463</v>
      </c>
      <c r="B21" s="387" t="s">
        <v>464</v>
      </c>
      <c r="C21" s="388">
        <v>0</v>
      </c>
      <c r="D21" s="388">
        <v>0</v>
      </c>
      <c r="E21" s="388">
        <v>3705769</v>
      </c>
    </row>
    <row r="22" spans="1:5" x14ac:dyDescent="0.2">
      <c r="A22" s="386" t="s">
        <v>465</v>
      </c>
      <c r="B22" s="387" t="s">
        <v>466</v>
      </c>
      <c r="C22" s="388">
        <v>2037161</v>
      </c>
      <c r="D22" s="388">
        <v>0</v>
      </c>
      <c r="E22" s="388">
        <v>5400636</v>
      </c>
    </row>
    <row r="23" spans="1:5" x14ac:dyDescent="0.2">
      <c r="A23" s="383" t="s">
        <v>467</v>
      </c>
      <c r="B23" s="384" t="s">
        <v>468</v>
      </c>
      <c r="C23" s="385">
        <v>139999</v>
      </c>
      <c r="D23" s="385">
        <v>0</v>
      </c>
      <c r="E23" s="385">
        <v>139999</v>
      </c>
    </row>
    <row r="24" spans="1:5" ht="25.5" x14ac:dyDescent="0.2">
      <c r="A24" s="383" t="s">
        <v>471</v>
      </c>
      <c r="B24" s="384" t="s">
        <v>472</v>
      </c>
      <c r="C24" s="385">
        <v>98999</v>
      </c>
      <c r="D24" s="385">
        <v>0</v>
      </c>
      <c r="E24" s="385">
        <v>98999</v>
      </c>
    </row>
    <row r="25" spans="1:5" x14ac:dyDescent="0.2">
      <c r="A25" s="383" t="s">
        <v>473</v>
      </c>
      <c r="B25" s="384" t="s">
        <v>474</v>
      </c>
      <c r="C25" s="385">
        <v>2418463</v>
      </c>
      <c r="D25" s="385">
        <v>0</v>
      </c>
      <c r="E25" s="385">
        <v>-1311090</v>
      </c>
    </row>
    <row r="26" spans="1:5" x14ac:dyDescent="0.2">
      <c r="A26" s="383" t="s">
        <v>475</v>
      </c>
      <c r="B26" s="384" t="s">
        <v>476</v>
      </c>
      <c r="C26" s="385">
        <v>-3729553</v>
      </c>
      <c r="D26" s="385">
        <v>0</v>
      </c>
      <c r="E26" s="385">
        <v>3725648</v>
      </c>
    </row>
    <row r="27" spans="1:5" x14ac:dyDescent="0.2">
      <c r="A27" s="386" t="s">
        <v>477</v>
      </c>
      <c r="B27" s="387" t="s">
        <v>478</v>
      </c>
      <c r="C27" s="388">
        <v>-1072092</v>
      </c>
      <c r="D27" s="388">
        <v>0</v>
      </c>
      <c r="E27" s="388">
        <v>2653556</v>
      </c>
    </row>
    <row r="28" spans="1:5" ht="25.5" x14ac:dyDescent="0.2">
      <c r="A28" s="383" t="s">
        <v>479</v>
      </c>
      <c r="B28" s="384" t="s">
        <v>480</v>
      </c>
      <c r="C28" s="385">
        <v>675</v>
      </c>
      <c r="D28" s="385">
        <v>0</v>
      </c>
      <c r="E28" s="385">
        <v>0</v>
      </c>
    </row>
    <row r="29" spans="1:5" ht="25.5" x14ac:dyDescent="0.2">
      <c r="A29" s="386" t="s">
        <v>483</v>
      </c>
      <c r="B29" s="387" t="s">
        <v>484</v>
      </c>
      <c r="C29" s="388">
        <v>675</v>
      </c>
      <c r="D29" s="388">
        <v>0</v>
      </c>
      <c r="E29" s="388">
        <v>0</v>
      </c>
    </row>
    <row r="30" spans="1:5" x14ac:dyDescent="0.2">
      <c r="A30" s="386" t="s">
        <v>497</v>
      </c>
      <c r="B30" s="387" t="s">
        <v>498</v>
      </c>
      <c r="C30" s="388">
        <v>675</v>
      </c>
      <c r="D30" s="388">
        <v>0</v>
      </c>
      <c r="E30" s="388">
        <v>0</v>
      </c>
    </row>
    <row r="31" spans="1:5" ht="25.5" x14ac:dyDescent="0.2">
      <c r="A31" s="383" t="s">
        <v>499</v>
      </c>
      <c r="B31" s="384" t="s">
        <v>500</v>
      </c>
      <c r="C31" s="385">
        <v>3108578</v>
      </c>
      <c r="D31" s="385">
        <v>0</v>
      </c>
      <c r="E31" s="385">
        <v>2747080</v>
      </c>
    </row>
    <row r="32" spans="1:5" ht="25.5" x14ac:dyDescent="0.2">
      <c r="A32" s="386" t="s">
        <v>501</v>
      </c>
      <c r="B32" s="387" t="s">
        <v>502</v>
      </c>
      <c r="C32" s="388">
        <v>3108578</v>
      </c>
      <c r="D32" s="388">
        <v>0</v>
      </c>
      <c r="E32" s="388">
        <v>2747080</v>
      </c>
    </row>
    <row r="33" spans="1:5" x14ac:dyDescent="0.2">
      <c r="A33" s="386" t="s">
        <v>503</v>
      </c>
      <c r="B33" s="387" t="s">
        <v>504</v>
      </c>
      <c r="C33" s="388">
        <v>2037161</v>
      </c>
      <c r="D33" s="388">
        <v>0</v>
      </c>
      <c r="E33" s="388">
        <v>5400636</v>
      </c>
    </row>
  </sheetData>
  <mergeCells count="4">
    <mergeCell ref="A6:E6"/>
    <mergeCell ref="A1:E1"/>
    <mergeCell ref="A3:E3"/>
    <mergeCell ref="A4:E4"/>
  </mergeCells>
  <pageMargins left="0.75" right="0.75" top="1" bottom="1" header="0.5" footer="0.5"/>
  <pageSetup scale="80" orientation="portrait" horizontalDpi="300" verticalDpi="300" r:id="rId1"/>
  <headerFooter alignWithMargins="0">
    <oddHeader>&amp;C&amp;L&amp;RÉrték típus: Forint</oddHeader>
    <oddFooter>&amp;C&amp;LAdatellenőrző kód: -7475-6d3b-2c60122332205773-17-531752-76-4e2b45&amp;R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9"/>
  <sheetViews>
    <sheetView view="pageBreakPreview" zoomScale="80" zoomScaleNormal="100" zoomScaleSheetLayoutView="80" workbookViewId="0">
      <pane ySplit="7" topLeftCell="A8" activePane="bottomLeft" state="frozen"/>
      <selection pane="bottomLeft" activeCell="E10" sqref="E10"/>
    </sheetView>
  </sheetViews>
  <sheetFormatPr defaultRowHeight="12.75" x14ac:dyDescent="0.2"/>
  <cols>
    <col min="1" max="1" width="8.28515625" style="371" customWidth="1"/>
    <col min="2" max="2" width="41" style="371" customWidth="1"/>
    <col min="3" max="5" width="20.7109375" style="371" customWidth="1"/>
    <col min="6" max="256" width="8.85546875" style="371"/>
    <col min="257" max="257" width="8.28515625" style="371" customWidth="1"/>
    <col min="258" max="258" width="41" style="371" customWidth="1"/>
    <col min="259" max="261" width="32.7109375" style="371" customWidth="1"/>
    <col min="262" max="512" width="8.85546875" style="371"/>
    <col min="513" max="513" width="8.28515625" style="371" customWidth="1"/>
    <col min="514" max="514" width="41" style="371" customWidth="1"/>
    <col min="515" max="517" width="32.7109375" style="371" customWidth="1"/>
    <col min="518" max="768" width="8.85546875" style="371"/>
    <col min="769" max="769" width="8.28515625" style="371" customWidth="1"/>
    <col min="770" max="770" width="41" style="371" customWidth="1"/>
    <col min="771" max="773" width="32.7109375" style="371" customWidth="1"/>
    <col min="774" max="1024" width="8.85546875" style="371"/>
    <col min="1025" max="1025" width="8.28515625" style="371" customWidth="1"/>
    <col min="1026" max="1026" width="41" style="371" customWidth="1"/>
    <col min="1027" max="1029" width="32.7109375" style="371" customWidth="1"/>
    <col min="1030" max="1280" width="8.85546875" style="371"/>
    <col min="1281" max="1281" width="8.28515625" style="371" customWidth="1"/>
    <col min="1282" max="1282" width="41" style="371" customWidth="1"/>
    <col min="1283" max="1285" width="32.7109375" style="371" customWidth="1"/>
    <col min="1286" max="1536" width="8.85546875" style="371"/>
    <col min="1537" max="1537" width="8.28515625" style="371" customWidth="1"/>
    <col min="1538" max="1538" width="41" style="371" customWidth="1"/>
    <col min="1539" max="1541" width="32.7109375" style="371" customWidth="1"/>
    <col min="1542" max="1792" width="8.85546875" style="371"/>
    <col min="1793" max="1793" width="8.28515625" style="371" customWidth="1"/>
    <col min="1794" max="1794" width="41" style="371" customWidth="1"/>
    <col min="1795" max="1797" width="32.7109375" style="371" customWidth="1"/>
    <col min="1798" max="2048" width="8.85546875" style="371"/>
    <col min="2049" max="2049" width="8.28515625" style="371" customWidth="1"/>
    <col min="2050" max="2050" width="41" style="371" customWidth="1"/>
    <col min="2051" max="2053" width="32.7109375" style="371" customWidth="1"/>
    <col min="2054" max="2304" width="8.85546875" style="371"/>
    <col min="2305" max="2305" width="8.28515625" style="371" customWidth="1"/>
    <col min="2306" max="2306" width="41" style="371" customWidth="1"/>
    <col min="2307" max="2309" width="32.7109375" style="371" customWidth="1"/>
    <col min="2310" max="2560" width="8.85546875" style="371"/>
    <col min="2561" max="2561" width="8.28515625" style="371" customWidth="1"/>
    <col min="2562" max="2562" width="41" style="371" customWidth="1"/>
    <col min="2563" max="2565" width="32.7109375" style="371" customWidth="1"/>
    <col min="2566" max="2816" width="8.85546875" style="371"/>
    <col min="2817" max="2817" width="8.28515625" style="371" customWidth="1"/>
    <col min="2818" max="2818" width="41" style="371" customWidth="1"/>
    <col min="2819" max="2821" width="32.7109375" style="371" customWidth="1"/>
    <col min="2822" max="3072" width="8.85546875" style="371"/>
    <col min="3073" max="3073" width="8.28515625" style="371" customWidth="1"/>
    <col min="3074" max="3074" width="41" style="371" customWidth="1"/>
    <col min="3075" max="3077" width="32.7109375" style="371" customWidth="1"/>
    <col min="3078" max="3328" width="8.85546875" style="371"/>
    <col min="3329" max="3329" width="8.28515625" style="371" customWidth="1"/>
    <col min="3330" max="3330" width="41" style="371" customWidth="1"/>
    <col min="3331" max="3333" width="32.7109375" style="371" customWidth="1"/>
    <col min="3334" max="3584" width="8.85546875" style="371"/>
    <col min="3585" max="3585" width="8.28515625" style="371" customWidth="1"/>
    <col min="3586" max="3586" width="41" style="371" customWidth="1"/>
    <col min="3587" max="3589" width="32.7109375" style="371" customWidth="1"/>
    <col min="3590" max="3840" width="8.85546875" style="371"/>
    <col min="3841" max="3841" width="8.28515625" style="371" customWidth="1"/>
    <col min="3842" max="3842" width="41" style="371" customWidth="1"/>
    <col min="3843" max="3845" width="32.7109375" style="371" customWidth="1"/>
    <col min="3846" max="4096" width="8.85546875" style="371"/>
    <col min="4097" max="4097" width="8.28515625" style="371" customWidth="1"/>
    <col min="4098" max="4098" width="41" style="371" customWidth="1"/>
    <col min="4099" max="4101" width="32.7109375" style="371" customWidth="1"/>
    <col min="4102" max="4352" width="8.85546875" style="371"/>
    <col min="4353" max="4353" width="8.28515625" style="371" customWidth="1"/>
    <col min="4354" max="4354" width="41" style="371" customWidth="1"/>
    <col min="4355" max="4357" width="32.7109375" style="371" customWidth="1"/>
    <col min="4358" max="4608" width="8.85546875" style="371"/>
    <col min="4609" max="4609" width="8.28515625" style="371" customWidth="1"/>
    <col min="4610" max="4610" width="41" style="371" customWidth="1"/>
    <col min="4611" max="4613" width="32.7109375" style="371" customWidth="1"/>
    <col min="4614" max="4864" width="8.85546875" style="371"/>
    <col min="4865" max="4865" width="8.28515625" style="371" customWidth="1"/>
    <col min="4866" max="4866" width="41" style="371" customWidth="1"/>
    <col min="4867" max="4869" width="32.7109375" style="371" customWidth="1"/>
    <col min="4870" max="5120" width="8.85546875" style="371"/>
    <col min="5121" max="5121" width="8.28515625" style="371" customWidth="1"/>
    <col min="5122" max="5122" width="41" style="371" customWidth="1"/>
    <col min="5123" max="5125" width="32.7109375" style="371" customWidth="1"/>
    <col min="5126" max="5376" width="8.85546875" style="371"/>
    <col min="5377" max="5377" width="8.28515625" style="371" customWidth="1"/>
    <col min="5378" max="5378" width="41" style="371" customWidth="1"/>
    <col min="5379" max="5381" width="32.7109375" style="371" customWidth="1"/>
    <col min="5382" max="5632" width="8.85546875" style="371"/>
    <col min="5633" max="5633" width="8.28515625" style="371" customWidth="1"/>
    <col min="5634" max="5634" width="41" style="371" customWidth="1"/>
    <col min="5635" max="5637" width="32.7109375" style="371" customWidth="1"/>
    <col min="5638" max="5888" width="8.85546875" style="371"/>
    <col min="5889" max="5889" width="8.28515625" style="371" customWidth="1"/>
    <col min="5890" max="5890" width="41" style="371" customWidth="1"/>
    <col min="5891" max="5893" width="32.7109375" style="371" customWidth="1"/>
    <col min="5894" max="6144" width="8.85546875" style="371"/>
    <col min="6145" max="6145" width="8.28515625" style="371" customWidth="1"/>
    <col min="6146" max="6146" width="41" style="371" customWidth="1"/>
    <col min="6147" max="6149" width="32.7109375" style="371" customWidth="1"/>
    <col min="6150" max="6400" width="8.85546875" style="371"/>
    <col min="6401" max="6401" width="8.28515625" style="371" customWidth="1"/>
    <col min="6402" max="6402" width="41" style="371" customWidth="1"/>
    <col min="6403" max="6405" width="32.7109375" style="371" customWidth="1"/>
    <col min="6406" max="6656" width="8.85546875" style="371"/>
    <col min="6657" max="6657" width="8.28515625" style="371" customWidth="1"/>
    <col min="6658" max="6658" width="41" style="371" customWidth="1"/>
    <col min="6659" max="6661" width="32.7109375" style="371" customWidth="1"/>
    <col min="6662" max="6912" width="8.85546875" style="371"/>
    <col min="6913" max="6913" width="8.28515625" style="371" customWidth="1"/>
    <col min="6914" max="6914" width="41" style="371" customWidth="1"/>
    <col min="6915" max="6917" width="32.7109375" style="371" customWidth="1"/>
    <col min="6918" max="7168" width="8.85546875" style="371"/>
    <col min="7169" max="7169" width="8.28515625" style="371" customWidth="1"/>
    <col min="7170" max="7170" width="41" style="371" customWidth="1"/>
    <col min="7171" max="7173" width="32.7109375" style="371" customWidth="1"/>
    <col min="7174" max="7424" width="8.85546875" style="371"/>
    <col min="7425" max="7425" width="8.28515625" style="371" customWidth="1"/>
    <col min="7426" max="7426" width="41" style="371" customWidth="1"/>
    <col min="7427" max="7429" width="32.7109375" style="371" customWidth="1"/>
    <col min="7430" max="7680" width="8.85546875" style="371"/>
    <col min="7681" max="7681" width="8.28515625" style="371" customWidth="1"/>
    <col min="7682" max="7682" width="41" style="371" customWidth="1"/>
    <col min="7683" max="7685" width="32.7109375" style="371" customWidth="1"/>
    <col min="7686" max="7936" width="8.85546875" style="371"/>
    <col min="7937" max="7937" width="8.28515625" style="371" customWidth="1"/>
    <col min="7938" max="7938" width="41" style="371" customWidth="1"/>
    <col min="7939" max="7941" width="32.7109375" style="371" customWidth="1"/>
    <col min="7942" max="8192" width="8.85546875" style="371"/>
    <col min="8193" max="8193" width="8.28515625" style="371" customWidth="1"/>
    <col min="8194" max="8194" width="41" style="371" customWidth="1"/>
    <col min="8195" max="8197" width="32.7109375" style="371" customWidth="1"/>
    <col min="8198" max="8448" width="8.85546875" style="371"/>
    <col min="8449" max="8449" width="8.28515625" style="371" customWidth="1"/>
    <col min="8450" max="8450" width="41" style="371" customWidth="1"/>
    <col min="8451" max="8453" width="32.7109375" style="371" customWidth="1"/>
    <col min="8454" max="8704" width="8.85546875" style="371"/>
    <col min="8705" max="8705" width="8.28515625" style="371" customWidth="1"/>
    <col min="8706" max="8706" width="41" style="371" customWidth="1"/>
    <col min="8707" max="8709" width="32.7109375" style="371" customWidth="1"/>
    <col min="8710" max="8960" width="8.85546875" style="371"/>
    <col min="8961" max="8961" width="8.28515625" style="371" customWidth="1"/>
    <col min="8962" max="8962" width="41" style="371" customWidth="1"/>
    <col min="8963" max="8965" width="32.7109375" style="371" customWidth="1"/>
    <col min="8966" max="9216" width="8.85546875" style="371"/>
    <col min="9217" max="9217" width="8.28515625" style="371" customWidth="1"/>
    <col min="9218" max="9218" width="41" style="371" customWidth="1"/>
    <col min="9219" max="9221" width="32.7109375" style="371" customWidth="1"/>
    <col min="9222" max="9472" width="8.85546875" style="371"/>
    <col min="9473" max="9473" width="8.28515625" style="371" customWidth="1"/>
    <col min="9474" max="9474" width="41" style="371" customWidth="1"/>
    <col min="9475" max="9477" width="32.7109375" style="371" customWidth="1"/>
    <col min="9478" max="9728" width="8.85546875" style="371"/>
    <col min="9729" max="9729" width="8.28515625" style="371" customWidth="1"/>
    <col min="9730" max="9730" width="41" style="371" customWidth="1"/>
    <col min="9731" max="9733" width="32.7109375" style="371" customWidth="1"/>
    <col min="9734" max="9984" width="8.85546875" style="371"/>
    <col min="9985" max="9985" width="8.28515625" style="371" customWidth="1"/>
    <col min="9986" max="9986" width="41" style="371" customWidth="1"/>
    <col min="9987" max="9989" width="32.7109375" style="371" customWidth="1"/>
    <col min="9990" max="10240" width="8.85546875" style="371"/>
    <col min="10241" max="10241" width="8.28515625" style="371" customWidth="1"/>
    <col min="10242" max="10242" width="41" style="371" customWidth="1"/>
    <col min="10243" max="10245" width="32.7109375" style="371" customWidth="1"/>
    <col min="10246" max="10496" width="8.85546875" style="371"/>
    <col min="10497" max="10497" width="8.28515625" style="371" customWidth="1"/>
    <col min="10498" max="10498" width="41" style="371" customWidth="1"/>
    <col min="10499" max="10501" width="32.7109375" style="371" customWidth="1"/>
    <col min="10502" max="10752" width="8.85546875" style="371"/>
    <col min="10753" max="10753" width="8.28515625" style="371" customWidth="1"/>
    <col min="10754" max="10754" width="41" style="371" customWidth="1"/>
    <col min="10755" max="10757" width="32.7109375" style="371" customWidth="1"/>
    <col min="10758" max="11008" width="8.85546875" style="371"/>
    <col min="11009" max="11009" width="8.28515625" style="371" customWidth="1"/>
    <col min="11010" max="11010" width="41" style="371" customWidth="1"/>
    <col min="11011" max="11013" width="32.7109375" style="371" customWidth="1"/>
    <col min="11014" max="11264" width="8.85546875" style="371"/>
    <col min="11265" max="11265" width="8.28515625" style="371" customWidth="1"/>
    <col min="11266" max="11266" width="41" style="371" customWidth="1"/>
    <col min="11267" max="11269" width="32.7109375" style="371" customWidth="1"/>
    <col min="11270" max="11520" width="8.85546875" style="371"/>
    <col min="11521" max="11521" width="8.28515625" style="371" customWidth="1"/>
    <col min="11522" max="11522" width="41" style="371" customWidth="1"/>
    <col min="11523" max="11525" width="32.7109375" style="371" customWidth="1"/>
    <col min="11526" max="11776" width="8.85546875" style="371"/>
    <col min="11777" max="11777" width="8.28515625" style="371" customWidth="1"/>
    <col min="11778" max="11778" width="41" style="371" customWidth="1"/>
    <col min="11779" max="11781" width="32.7109375" style="371" customWidth="1"/>
    <col min="11782" max="12032" width="8.85546875" style="371"/>
    <col min="12033" max="12033" width="8.28515625" style="371" customWidth="1"/>
    <col min="12034" max="12034" width="41" style="371" customWidth="1"/>
    <col min="12035" max="12037" width="32.7109375" style="371" customWidth="1"/>
    <col min="12038" max="12288" width="8.85546875" style="371"/>
    <col min="12289" max="12289" width="8.28515625" style="371" customWidth="1"/>
    <col min="12290" max="12290" width="41" style="371" customWidth="1"/>
    <col min="12291" max="12293" width="32.7109375" style="371" customWidth="1"/>
    <col min="12294" max="12544" width="8.85546875" style="371"/>
    <col min="12545" max="12545" width="8.28515625" style="371" customWidth="1"/>
    <col min="12546" max="12546" width="41" style="371" customWidth="1"/>
    <col min="12547" max="12549" width="32.7109375" style="371" customWidth="1"/>
    <col min="12550" max="12800" width="8.85546875" style="371"/>
    <col min="12801" max="12801" width="8.28515625" style="371" customWidth="1"/>
    <col min="12802" max="12802" width="41" style="371" customWidth="1"/>
    <col min="12803" max="12805" width="32.7109375" style="371" customWidth="1"/>
    <col min="12806" max="13056" width="8.85546875" style="371"/>
    <col min="13057" max="13057" width="8.28515625" style="371" customWidth="1"/>
    <col min="13058" max="13058" width="41" style="371" customWidth="1"/>
    <col min="13059" max="13061" width="32.7109375" style="371" customWidth="1"/>
    <col min="13062" max="13312" width="8.85546875" style="371"/>
    <col min="13313" max="13313" width="8.28515625" style="371" customWidth="1"/>
    <col min="13314" max="13314" width="41" style="371" customWidth="1"/>
    <col min="13315" max="13317" width="32.7109375" style="371" customWidth="1"/>
    <col min="13318" max="13568" width="8.85546875" style="371"/>
    <col min="13569" max="13569" width="8.28515625" style="371" customWidth="1"/>
    <col min="13570" max="13570" width="41" style="371" customWidth="1"/>
    <col min="13571" max="13573" width="32.7109375" style="371" customWidth="1"/>
    <col min="13574" max="13824" width="8.85546875" style="371"/>
    <col min="13825" max="13825" width="8.28515625" style="371" customWidth="1"/>
    <col min="13826" max="13826" width="41" style="371" customWidth="1"/>
    <col min="13827" max="13829" width="32.7109375" style="371" customWidth="1"/>
    <col min="13830" max="14080" width="8.85546875" style="371"/>
    <col min="14081" max="14081" width="8.28515625" style="371" customWidth="1"/>
    <col min="14082" max="14082" width="41" style="371" customWidth="1"/>
    <col min="14083" max="14085" width="32.7109375" style="371" customWidth="1"/>
    <col min="14086" max="14336" width="8.85546875" style="371"/>
    <col min="14337" max="14337" width="8.28515625" style="371" customWidth="1"/>
    <col min="14338" max="14338" width="41" style="371" customWidth="1"/>
    <col min="14339" max="14341" width="32.7109375" style="371" customWidth="1"/>
    <col min="14342" max="14592" width="8.85546875" style="371"/>
    <col min="14593" max="14593" width="8.28515625" style="371" customWidth="1"/>
    <col min="14594" max="14594" width="41" style="371" customWidth="1"/>
    <col min="14595" max="14597" width="32.7109375" style="371" customWidth="1"/>
    <col min="14598" max="14848" width="8.85546875" style="371"/>
    <col min="14849" max="14849" width="8.28515625" style="371" customWidth="1"/>
    <col min="14850" max="14850" width="41" style="371" customWidth="1"/>
    <col min="14851" max="14853" width="32.7109375" style="371" customWidth="1"/>
    <col min="14854" max="15104" width="8.85546875" style="371"/>
    <col min="15105" max="15105" width="8.28515625" style="371" customWidth="1"/>
    <col min="15106" max="15106" width="41" style="371" customWidth="1"/>
    <col min="15107" max="15109" width="32.7109375" style="371" customWidth="1"/>
    <col min="15110" max="15360" width="8.85546875" style="371"/>
    <col min="15361" max="15361" width="8.28515625" style="371" customWidth="1"/>
    <col min="15362" max="15362" width="41" style="371" customWidth="1"/>
    <col min="15363" max="15365" width="32.7109375" style="371" customWidth="1"/>
    <col min="15366" max="15616" width="8.85546875" style="371"/>
    <col min="15617" max="15617" width="8.28515625" style="371" customWidth="1"/>
    <col min="15618" max="15618" width="41" style="371" customWidth="1"/>
    <col min="15619" max="15621" width="32.7109375" style="371" customWidth="1"/>
    <col min="15622" max="15872" width="8.85546875" style="371"/>
    <col min="15873" max="15873" width="8.28515625" style="371" customWidth="1"/>
    <col min="15874" max="15874" width="41" style="371" customWidth="1"/>
    <col min="15875" max="15877" width="32.7109375" style="371" customWidth="1"/>
    <col min="15878" max="16128" width="8.85546875" style="371"/>
    <col min="16129" max="16129" width="8.28515625" style="371" customWidth="1"/>
    <col min="16130" max="16130" width="41" style="371" customWidth="1"/>
    <col min="16131" max="16133" width="32.7109375" style="371" customWidth="1"/>
    <col min="16134" max="16384" width="8.85546875" style="371"/>
  </cols>
  <sheetData>
    <row r="1" spans="1:5" x14ac:dyDescent="0.2">
      <c r="A1" s="437" t="s">
        <v>607</v>
      </c>
      <c r="B1" s="418"/>
      <c r="C1" s="418"/>
      <c r="D1" s="418"/>
      <c r="E1" s="418"/>
    </row>
    <row r="2" spans="1:5" x14ac:dyDescent="0.2">
      <c r="A2" s="438" t="s">
        <v>316</v>
      </c>
      <c r="B2" s="439"/>
      <c r="C2" s="439"/>
      <c r="D2" s="439"/>
      <c r="E2" s="439"/>
    </row>
    <row r="3" spans="1:5" x14ac:dyDescent="0.2">
      <c r="A3" s="438" t="s">
        <v>546</v>
      </c>
      <c r="B3" s="439"/>
      <c r="C3" s="439"/>
      <c r="D3" s="439"/>
      <c r="E3" s="439"/>
    </row>
    <row r="4" spans="1:5" x14ac:dyDescent="0.2">
      <c r="A4" s="382"/>
      <c r="B4" s="83"/>
      <c r="C4" s="83"/>
      <c r="D4" s="83"/>
      <c r="E4" s="83"/>
    </row>
    <row r="5" spans="1:5" x14ac:dyDescent="0.2">
      <c r="A5" s="435" t="s">
        <v>507</v>
      </c>
      <c r="B5" s="436"/>
      <c r="C5" s="436"/>
      <c r="D5" s="436"/>
      <c r="E5" s="436"/>
    </row>
    <row r="6" spans="1:5" ht="15" x14ac:dyDescent="0.2">
      <c r="A6" s="389" t="s">
        <v>390</v>
      </c>
      <c r="B6" s="389" t="s">
        <v>280</v>
      </c>
      <c r="C6" s="389" t="s">
        <v>394</v>
      </c>
      <c r="D6" s="389" t="s">
        <v>395</v>
      </c>
      <c r="E6" s="389" t="s">
        <v>396</v>
      </c>
    </row>
    <row r="7" spans="1:5" ht="15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</row>
    <row r="8" spans="1:5" ht="25.5" x14ac:dyDescent="0.2">
      <c r="A8" s="383" t="s">
        <v>386</v>
      </c>
      <c r="B8" s="384" t="s">
        <v>509</v>
      </c>
      <c r="C8" s="385">
        <v>23514717</v>
      </c>
      <c r="D8" s="385">
        <v>0</v>
      </c>
      <c r="E8" s="385">
        <v>23034915</v>
      </c>
    </row>
    <row r="9" spans="1:5" ht="25.5" x14ac:dyDescent="0.2">
      <c r="A9" s="386" t="s">
        <v>382</v>
      </c>
      <c r="B9" s="387" t="s">
        <v>510</v>
      </c>
      <c r="C9" s="388">
        <v>23514717</v>
      </c>
      <c r="D9" s="388">
        <v>0</v>
      </c>
      <c r="E9" s="388">
        <v>23034915</v>
      </c>
    </row>
    <row r="10" spans="1:5" ht="25.5" x14ac:dyDescent="0.2">
      <c r="A10" s="383" t="s">
        <v>511</v>
      </c>
      <c r="B10" s="384" t="s">
        <v>512</v>
      </c>
      <c r="C10" s="385">
        <v>24489819</v>
      </c>
      <c r="D10" s="385">
        <v>0</v>
      </c>
      <c r="E10" s="385">
        <v>32037483</v>
      </c>
    </row>
    <row r="11" spans="1:5" ht="25.5" x14ac:dyDescent="0.2">
      <c r="A11" s="383" t="s">
        <v>513</v>
      </c>
      <c r="B11" s="384" t="s">
        <v>514</v>
      </c>
      <c r="C11" s="385">
        <v>1244746</v>
      </c>
      <c r="D11" s="385">
        <v>0</v>
      </c>
      <c r="E11" s="385">
        <v>2257515</v>
      </c>
    </row>
    <row r="12" spans="1:5" ht="25.5" x14ac:dyDescent="0.2">
      <c r="A12" s="383" t="s">
        <v>403</v>
      </c>
      <c r="B12" s="384" t="s">
        <v>516</v>
      </c>
      <c r="C12" s="385">
        <v>5</v>
      </c>
      <c r="D12" s="385">
        <v>0</v>
      </c>
      <c r="E12" s="385">
        <v>200049</v>
      </c>
    </row>
    <row r="13" spans="1:5" ht="25.5" x14ac:dyDescent="0.2">
      <c r="A13" s="386" t="s">
        <v>517</v>
      </c>
      <c r="B13" s="387" t="s">
        <v>518</v>
      </c>
      <c r="C13" s="388">
        <v>25734570</v>
      </c>
      <c r="D13" s="388">
        <v>0</v>
      </c>
      <c r="E13" s="388">
        <v>34495047</v>
      </c>
    </row>
    <row r="14" spans="1:5" x14ac:dyDescent="0.2">
      <c r="A14" s="383" t="s">
        <v>405</v>
      </c>
      <c r="B14" s="384" t="s">
        <v>519</v>
      </c>
      <c r="C14" s="385">
        <v>3710781</v>
      </c>
      <c r="D14" s="385">
        <v>0</v>
      </c>
      <c r="E14" s="385">
        <v>5312059</v>
      </c>
    </row>
    <row r="15" spans="1:5" x14ac:dyDescent="0.2">
      <c r="A15" s="383" t="s">
        <v>520</v>
      </c>
      <c r="B15" s="384" t="s">
        <v>521</v>
      </c>
      <c r="C15" s="385">
        <v>10764517</v>
      </c>
      <c r="D15" s="385">
        <v>0</v>
      </c>
      <c r="E15" s="385">
        <v>12334289</v>
      </c>
    </row>
    <row r="16" spans="1:5" ht="25.5" x14ac:dyDescent="0.2">
      <c r="A16" s="386" t="s">
        <v>372</v>
      </c>
      <c r="B16" s="387" t="s">
        <v>522</v>
      </c>
      <c r="C16" s="388">
        <v>14475298</v>
      </c>
      <c r="D16" s="388">
        <v>0</v>
      </c>
      <c r="E16" s="388">
        <v>17646348</v>
      </c>
    </row>
    <row r="17" spans="1:5" x14ac:dyDescent="0.2">
      <c r="A17" s="383" t="s">
        <v>523</v>
      </c>
      <c r="B17" s="384" t="s">
        <v>524</v>
      </c>
      <c r="C17" s="385">
        <v>27532290</v>
      </c>
      <c r="D17" s="385">
        <v>0</v>
      </c>
      <c r="E17" s="385">
        <v>27906040</v>
      </c>
    </row>
    <row r="18" spans="1:5" x14ac:dyDescent="0.2">
      <c r="A18" s="383" t="s">
        <v>525</v>
      </c>
      <c r="B18" s="384" t="s">
        <v>526</v>
      </c>
      <c r="C18" s="385">
        <v>1617929</v>
      </c>
      <c r="D18" s="385">
        <v>0</v>
      </c>
      <c r="E18" s="385">
        <v>2409533</v>
      </c>
    </row>
    <row r="19" spans="1:5" x14ac:dyDescent="0.2">
      <c r="A19" s="383" t="s">
        <v>527</v>
      </c>
      <c r="B19" s="384" t="s">
        <v>528</v>
      </c>
      <c r="C19" s="385">
        <v>5843232</v>
      </c>
      <c r="D19" s="385">
        <v>0</v>
      </c>
      <c r="E19" s="385">
        <v>5512548</v>
      </c>
    </row>
    <row r="20" spans="1:5" ht="25.5" x14ac:dyDescent="0.2">
      <c r="A20" s="386" t="s">
        <v>409</v>
      </c>
      <c r="B20" s="387" t="s">
        <v>529</v>
      </c>
      <c r="C20" s="388">
        <v>34993451</v>
      </c>
      <c r="D20" s="388">
        <v>0</v>
      </c>
      <c r="E20" s="388">
        <v>35828121</v>
      </c>
    </row>
    <row r="21" spans="1:5" x14ac:dyDescent="0.2">
      <c r="A21" s="386" t="s">
        <v>411</v>
      </c>
      <c r="B21" s="387" t="s">
        <v>530</v>
      </c>
      <c r="C21" s="388">
        <v>264568</v>
      </c>
      <c r="D21" s="388">
        <v>0</v>
      </c>
      <c r="E21" s="388">
        <v>329134</v>
      </c>
    </row>
    <row r="22" spans="1:5" x14ac:dyDescent="0.2">
      <c r="A22" s="386" t="s">
        <v>531</v>
      </c>
      <c r="B22" s="387" t="s">
        <v>532</v>
      </c>
      <c r="C22" s="388">
        <v>3245524</v>
      </c>
      <c r="D22" s="388">
        <v>0</v>
      </c>
      <c r="E22" s="388">
        <v>61</v>
      </c>
    </row>
    <row r="23" spans="1:5" ht="25.5" x14ac:dyDescent="0.2">
      <c r="A23" s="386" t="s">
        <v>413</v>
      </c>
      <c r="B23" s="387" t="s">
        <v>533</v>
      </c>
      <c r="C23" s="388">
        <v>-3729554</v>
      </c>
      <c r="D23" s="388">
        <v>0</v>
      </c>
      <c r="E23" s="388">
        <v>3726298</v>
      </c>
    </row>
    <row r="24" spans="1:5" ht="25.5" x14ac:dyDescent="0.2">
      <c r="A24" s="383" t="s">
        <v>417</v>
      </c>
      <c r="B24" s="384" t="s">
        <v>534</v>
      </c>
      <c r="C24" s="385">
        <v>1</v>
      </c>
      <c r="D24" s="385">
        <v>0</v>
      </c>
      <c r="E24" s="385">
        <v>2</v>
      </c>
    </row>
    <row r="25" spans="1:5" ht="38.25" x14ac:dyDescent="0.2">
      <c r="A25" s="386" t="s">
        <v>535</v>
      </c>
      <c r="B25" s="387" t="s">
        <v>536</v>
      </c>
      <c r="C25" s="388">
        <v>1</v>
      </c>
      <c r="D25" s="388">
        <v>0</v>
      </c>
      <c r="E25" s="388">
        <v>2</v>
      </c>
    </row>
    <row r="26" spans="1:5" ht="25.5" x14ac:dyDescent="0.2">
      <c r="A26" s="383" t="s">
        <v>537</v>
      </c>
      <c r="B26" s="384" t="s">
        <v>538</v>
      </c>
      <c r="C26" s="385">
        <v>0</v>
      </c>
      <c r="D26" s="385">
        <v>0</v>
      </c>
      <c r="E26" s="385">
        <v>652</v>
      </c>
    </row>
    <row r="27" spans="1:5" ht="25.5" x14ac:dyDescent="0.2">
      <c r="A27" s="386" t="s">
        <v>539</v>
      </c>
      <c r="B27" s="387" t="s">
        <v>540</v>
      </c>
      <c r="C27" s="388">
        <v>0</v>
      </c>
      <c r="D27" s="388">
        <v>0</v>
      </c>
      <c r="E27" s="388">
        <v>652</v>
      </c>
    </row>
    <row r="28" spans="1:5" ht="25.5" x14ac:dyDescent="0.2">
      <c r="A28" s="386" t="s">
        <v>541</v>
      </c>
      <c r="B28" s="387" t="s">
        <v>542</v>
      </c>
      <c r="C28" s="388">
        <v>1</v>
      </c>
      <c r="D28" s="388">
        <v>0</v>
      </c>
      <c r="E28" s="388">
        <v>-650</v>
      </c>
    </row>
    <row r="29" spans="1:5" x14ac:dyDescent="0.2">
      <c r="A29" s="386" t="s">
        <v>543</v>
      </c>
      <c r="B29" s="387" t="s">
        <v>544</v>
      </c>
      <c r="C29" s="388">
        <v>-3729553</v>
      </c>
      <c r="D29" s="388">
        <v>0</v>
      </c>
      <c r="E29" s="388">
        <v>3725648</v>
      </c>
    </row>
  </sheetData>
  <mergeCells count="4">
    <mergeCell ref="A5:E5"/>
    <mergeCell ref="A1:E1"/>
    <mergeCell ref="A2:E2"/>
    <mergeCell ref="A3:E3"/>
  </mergeCells>
  <pageMargins left="0.75" right="0.75" top="1" bottom="1" header="0.5" footer="0.5"/>
  <pageSetup scale="80" orientation="portrait" horizontalDpi="300" verticalDpi="300" r:id="rId1"/>
  <headerFooter alignWithMargins="0">
    <oddHeader>&amp;C&amp;L&amp;RÉrték típus: Forint</oddHeader>
    <oddFooter>&amp;C&amp;LAdatellenőrző kód: -7475-6d3b-2c60122332205773-17-531752-76-4e2b45&amp;R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0"/>
  <sheetViews>
    <sheetView view="pageBreakPreview" zoomScaleNormal="100" zoomScaleSheetLayoutView="100" workbookViewId="0">
      <pane ySplit="7" topLeftCell="A8" activePane="bottomLeft" state="frozen"/>
      <selection pane="bottomLeft" activeCell="I28" sqref="I28"/>
    </sheetView>
  </sheetViews>
  <sheetFormatPr defaultRowHeight="12.75" x14ac:dyDescent="0.2"/>
  <cols>
    <col min="1" max="1" width="8.28515625" style="371" customWidth="1"/>
    <col min="2" max="2" width="39.85546875" style="371" customWidth="1"/>
    <col min="3" max="9" width="20.7109375" style="371" customWidth="1"/>
    <col min="10" max="256" width="8.85546875" style="371"/>
    <col min="257" max="257" width="8.28515625" style="371" customWidth="1"/>
    <col min="258" max="258" width="41" style="371" customWidth="1"/>
    <col min="259" max="265" width="32.7109375" style="371" customWidth="1"/>
    <col min="266" max="512" width="8.85546875" style="371"/>
    <col min="513" max="513" width="8.28515625" style="371" customWidth="1"/>
    <col min="514" max="514" width="41" style="371" customWidth="1"/>
    <col min="515" max="521" width="32.7109375" style="371" customWidth="1"/>
    <col min="522" max="768" width="8.85546875" style="371"/>
    <col min="769" max="769" width="8.28515625" style="371" customWidth="1"/>
    <col min="770" max="770" width="41" style="371" customWidth="1"/>
    <col min="771" max="777" width="32.7109375" style="371" customWidth="1"/>
    <col min="778" max="1024" width="8.85546875" style="371"/>
    <col min="1025" max="1025" width="8.28515625" style="371" customWidth="1"/>
    <col min="1026" max="1026" width="41" style="371" customWidth="1"/>
    <col min="1027" max="1033" width="32.7109375" style="371" customWidth="1"/>
    <col min="1034" max="1280" width="8.85546875" style="371"/>
    <col min="1281" max="1281" width="8.28515625" style="371" customWidth="1"/>
    <col min="1282" max="1282" width="41" style="371" customWidth="1"/>
    <col min="1283" max="1289" width="32.7109375" style="371" customWidth="1"/>
    <col min="1290" max="1536" width="8.85546875" style="371"/>
    <col min="1537" max="1537" width="8.28515625" style="371" customWidth="1"/>
    <col min="1538" max="1538" width="41" style="371" customWidth="1"/>
    <col min="1539" max="1545" width="32.7109375" style="371" customWidth="1"/>
    <col min="1546" max="1792" width="8.85546875" style="371"/>
    <col min="1793" max="1793" width="8.28515625" style="371" customWidth="1"/>
    <col min="1794" max="1794" width="41" style="371" customWidth="1"/>
    <col min="1795" max="1801" width="32.7109375" style="371" customWidth="1"/>
    <col min="1802" max="2048" width="8.85546875" style="371"/>
    <col min="2049" max="2049" width="8.28515625" style="371" customWidth="1"/>
    <col min="2050" max="2050" width="41" style="371" customWidth="1"/>
    <col min="2051" max="2057" width="32.7109375" style="371" customWidth="1"/>
    <col min="2058" max="2304" width="8.85546875" style="371"/>
    <col min="2305" max="2305" width="8.28515625" style="371" customWidth="1"/>
    <col min="2306" max="2306" width="41" style="371" customWidth="1"/>
    <col min="2307" max="2313" width="32.7109375" style="371" customWidth="1"/>
    <col min="2314" max="2560" width="8.85546875" style="371"/>
    <col min="2561" max="2561" width="8.28515625" style="371" customWidth="1"/>
    <col min="2562" max="2562" width="41" style="371" customWidth="1"/>
    <col min="2563" max="2569" width="32.7109375" style="371" customWidth="1"/>
    <col min="2570" max="2816" width="8.85546875" style="371"/>
    <col min="2817" max="2817" width="8.28515625" style="371" customWidth="1"/>
    <col min="2818" max="2818" width="41" style="371" customWidth="1"/>
    <col min="2819" max="2825" width="32.7109375" style="371" customWidth="1"/>
    <col min="2826" max="3072" width="8.85546875" style="371"/>
    <col min="3073" max="3073" width="8.28515625" style="371" customWidth="1"/>
    <col min="3074" max="3074" width="41" style="371" customWidth="1"/>
    <col min="3075" max="3081" width="32.7109375" style="371" customWidth="1"/>
    <col min="3082" max="3328" width="8.85546875" style="371"/>
    <col min="3329" max="3329" width="8.28515625" style="371" customWidth="1"/>
    <col min="3330" max="3330" width="41" style="371" customWidth="1"/>
    <col min="3331" max="3337" width="32.7109375" style="371" customWidth="1"/>
    <col min="3338" max="3584" width="8.85546875" style="371"/>
    <col min="3585" max="3585" width="8.28515625" style="371" customWidth="1"/>
    <col min="3586" max="3586" width="41" style="371" customWidth="1"/>
    <col min="3587" max="3593" width="32.7109375" style="371" customWidth="1"/>
    <col min="3594" max="3840" width="8.85546875" style="371"/>
    <col min="3841" max="3841" width="8.28515625" style="371" customWidth="1"/>
    <col min="3842" max="3842" width="41" style="371" customWidth="1"/>
    <col min="3843" max="3849" width="32.7109375" style="371" customWidth="1"/>
    <col min="3850" max="4096" width="8.85546875" style="371"/>
    <col min="4097" max="4097" width="8.28515625" style="371" customWidth="1"/>
    <col min="4098" max="4098" width="41" style="371" customWidth="1"/>
    <col min="4099" max="4105" width="32.7109375" style="371" customWidth="1"/>
    <col min="4106" max="4352" width="8.85546875" style="371"/>
    <col min="4353" max="4353" width="8.28515625" style="371" customWidth="1"/>
    <col min="4354" max="4354" width="41" style="371" customWidth="1"/>
    <col min="4355" max="4361" width="32.7109375" style="371" customWidth="1"/>
    <col min="4362" max="4608" width="8.85546875" style="371"/>
    <col min="4609" max="4609" width="8.28515625" style="371" customWidth="1"/>
    <col min="4610" max="4610" width="41" style="371" customWidth="1"/>
    <col min="4611" max="4617" width="32.7109375" style="371" customWidth="1"/>
    <col min="4618" max="4864" width="8.85546875" style="371"/>
    <col min="4865" max="4865" width="8.28515625" style="371" customWidth="1"/>
    <col min="4866" max="4866" width="41" style="371" customWidth="1"/>
    <col min="4867" max="4873" width="32.7109375" style="371" customWidth="1"/>
    <col min="4874" max="5120" width="8.85546875" style="371"/>
    <col min="5121" max="5121" width="8.28515625" style="371" customWidth="1"/>
    <col min="5122" max="5122" width="41" style="371" customWidth="1"/>
    <col min="5123" max="5129" width="32.7109375" style="371" customWidth="1"/>
    <col min="5130" max="5376" width="8.85546875" style="371"/>
    <col min="5377" max="5377" width="8.28515625" style="371" customWidth="1"/>
    <col min="5378" max="5378" width="41" style="371" customWidth="1"/>
    <col min="5379" max="5385" width="32.7109375" style="371" customWidth="1"/>
    <col min="5386" max="5632" width="8.85546875" style="371"/>
    <col min="5633" max="5633" width="8.28515625" style="371" customWidth="1"/>
    <col min="5634" max="5634" width="41" style="371" customWidth="1"/>
    <col min="5635" max="5641" width="32.7109375" style="371" customWidth="1"/>
    <col min="5642" max="5888" width="8.85546875" style="371"/>
    <col min="5889" max="5889" width="8.28515625" style="371" customWidth="1"/>
    <col min="5890" max="5890" width="41" style="371" customWidth="1"/>
    <col min="5891" max="5897" width="32.7109375" style="371" customWidth="1"/>
    <col min="5898" max="6144" width="8.85546875" style="371"/>
    <col min="6145" max="6145" width="8.28515625" style="371" customWidth="1"/>
    <col min="6146" max="6146" width="41" style="371" customWidth="1"/>
    <col min="6147" max="6153" width="32.7109375" style="371" customWidth="1"/>
    <col min="6154" max="6400" width="8.85546875" style="371"/>
    <col min="6401" max="6401" width="8.28515625" style="371" customWidth="1"/>
    <col min="6402" max="6402" width="41" style="371" customWidth="1"/>
    <col min="6403" max="6409" width="32.7109375" style="371" customWidth="1"/>
    <col min="6410" max="6656" width="8.85546875" style="371"/>
    <col min="6657" max="6657" width="8.28515625" style="371" customWidth="1"/>
    <col min="6658" max="6658" width="41" style="371" customWidth="1"/>
    <col min="6659" max="6665" width="32.7109375" style="371" customWidth="1"/>
    <col min="6666" max="6912" width="8.85546875" style="371"/>
    <col min="6913" max="6913" width="8.28515625" style="371" customWidth="1"/>
    <col min="6914" max="6914" width="41" style="371" customWidth="1"/>
    <col min="6915" max="6921" width="32.7109375" style="371" customWidth="1"/>
    <col min="6922" max="7168" width="8.85546875" style="371"/>
    <col min="7169" max="7169" width="8.28515625" style="371" customWidth="1"/>
    <col min="7170" max="7170" width="41" style="371" customWidth="1"/>
    <col min="7171" max="7177" width="32.7109375" style="371" customWidth="1"/>
    <col min="7178" max="7424" width="8.85546875" style="371"/>
    <col min="7425" max="7425" width="8.28515625" style="371" customWidth="1"/>
    <col min="7426" max="7426" width="41" style="371" customWidth="1"/>
    <col min="7427" max="7433" width="32.7109375" style="371" customWidth="1"/>
    <col min="7434" max="7680" width="8.85546875" style="371"/>
    <col min="7681" max="7681" width="8.28515625" style="371" customWidth="1"/>
    <col min="7682" max="7682" width="41" style="371" customWidth="1"/>
    <col min="7683" max="7689" width="32.7109375" style="371" customWidth="1"/>
    <col min="7690" max="7936" width="8.85546875" style="371"/>
    <col min="7937" max="7937" width="8.28515625" style="371" customWidth="1"/>
    <col min="7938" max="7938" width="41" style="371" customWidth="1"/>
    <col min="7939" max="7945" width="32.7109375" style="371" customWidth="1"/>
    <col min="7946" max="8192" width="8.85546875" style="371"/>
    <col min="8193" max="8193" width="8.28515625" style="371" customWidth="1"/>
    <col min="8194" max="8194" width="41" style="371" customWidth="1"/>
    <col min="8195" max="8201" width="32.7109375" style="371" customWidth="1"/>
    <col min="8202" max="8448" width="8.85546875" style="371"/>
    <col min="8449" max="8449" width="8.28515625" style="371" customWidth="1"/>
    <col min="8450" max="8450" width="41" style="371" customWidth="1"/>
    <col min="8451" max="8457" width="32.7109375" style="371" customWidth="1"/>
    <col min="8458" max="8704" width="8.85546875" style="371"/>
    <col min="8705" max="8705" width="8.28515625" style="371" customWidth="1"/>
    <col min="8706" max="8706" width="41" style="371" customWidth="1"/>
    <col min="8707" max="8713" width="32.7109375" style="371" customWidth="1"/>
    <col min="8714" max="8960" width="8.85546875" style="371"/>
    <col min="8961" max="8961" width="8.28515625" style="371" customWidth="1"/>
    <col min="8962" max="8962" width="41" style="371" customWidth="1"/>
    <col min="8963" max="8969" width="32.7109375" style="371" customWidth="1"/>
    <col min="8970" max="9216" width="8.85546875" style="371"/>
    <col min="9217" max="9217" width="8.28515625" style="371" customWidth="1"/>
    <col min="9218" max="9218" width="41" style="371" customWidth="1"/>
    <col min="9219" max="9225" width="32.7109375" style="371" customWidth="1"/>
    <col min="9226" max="9472" width="8.85546875" style="371"/>
    <col min="9473" max="9473" width="8.28515625" style="371" customWidth="1"/>
    <col min="9474" max="9474" width="41" style="371" customWidth="1"/>
    <col min="9475" max="9481" width="32.7109375" style="371" customWidth="1"/>
    <col min="9482" max="9728" width="8.85546875" style="371"/>
    <col min="9729" max="9729" width="8.28515625" style="371" customWidth="1"/>
    <col min="9730" max="9730" width="41" style="371" customWidth="1"/>
    <col min="9731" max="9737" width="32.7109375" style="371" customWidth="1"/>
    <col min="9738" max="9984" width="8.85546875" style="371"/>
    <col min="9985" max="9985" width="8.28515625" style="371" customWidth="1"/>
    <col min="9986" max="9986" width="41" style="371" customWidth="1"/>
    <col min="9987" max="9993" width="32.7109375" style="371" customWidth="1"/>
    <col min="9994" max="10240" width="8.85546875" style="371"/>
    <col min="10241" max="10241" width="8.28515625" style="371" customWidth="1"/>
    <col min="10242" max="10242" width="41" style="371" customWidth="1"/>
    <col min="10243" max="10249" width="32.7109375" style="371" customWidth="1"/>
    <col min="10250" max="10496" width="8.85546875" style="371"/>
    <col min="10497" max="10497" width="8.28515625" style="371" customWidth="1"/>
    <col min="10498" max="10498" width="41" style="371" customWidth="1"/>
    <col min="10499" max="10505" width="32.7109375" style="371" customWidth="1"/>
    <col min="10506" max="10752" width="8.85546875" style="371"/>
    <col min="10753" max="10753" width="8.28515625" style="371" customWidth="1"/>
    <col min="10754" max="10754" width="41" style="371" customWidth="1"/>
    <col min="10755" max="10761" width="32.7109375" style="371" customWidth="1"/>
    <col min="10762" max="11008" width="8.85546875" style="371"/>
    <col min="11009" max="11009" width="8.28515625" style="371" customWidth="1"/>
    <col min="11010" max="11010" width="41" style="371" customWidth="1"/>
    <col min="11011" max="11017" width="32.7109375" style="371" customWidth="1"/>
    <col min="11018" max="11264" width="8.85546875" style="371"/>
    <col min="11265" max="11265" width="8.28515625" style="371" customWidth="1"/>
    <col min="11266" max="11266" width="41" style="371" customWidth="1"/>
    <col min="11267" max="11273" width="32.7109375" style="371" customWidth="1"/>
    <col min="11274" max="11520" width="8.85546875" style="371"/>
    <col min="11521" max="11521" width="8.28515625" style="371" customWidth="1"/>
    <col min="11522" max="11522" width="41" style="371" customWidth="1"/>
    <col min="11523" max="11529" width="32.7109375" style="371" customWidth="1"/>
    <col min="11530" max="11776" width="8.85546875" style="371"/>
    <col min="11777" max="11777" width="8.28515625" style="371" customWidth="1"/>
    <col min="11778" max="11778" width="41" style="371" customWidth="1"/>
    <col min="11779" max="11785" width="32.7109375" style="371" customWidth="1"/>
    <col min="11786" max="12032" width="8.85546875" style="371"/>
    <col min="12033" max="12033" width="8.28515625" style="371" customWidth="1"/>
    <col min="12034" max="12034" width="41" style="371" customWidth="1"/>
    <col min="12035" max="12041" width="32.7109375" style="371" customWidth="1"/>
    <col min="12042" max="12288" width="8.85546875" style="371"/>
    <col min="12289" max="12289" width="8.28515625" style="371" customWidth="1"/>
    <col min="12290" max="12290" width="41" style="371" customWidth="1"/>
    <col min="12291" max="12297" width="32.7109375" style="371" customWidth="1"/>
    <col min="12298" max="12544" width="8.85546875" style="371"/>
    <col min="12545" max="12545" width="8.28515625" style="371" customWidth="1"/>
    <col min="12546" max="12546" width="41" style="371" customWidth="1"/>
    <col min="12547" max="12553" width="32.7109375" style="371" customWidth="1"/>
    <col min="12554" max="12800" width="8.85546875" style="371"/>
    <col min="12801" max="12801" width="8.28515625" style="371" customWidth="1"/>
    <col min="12802" max="12802" width="41" style="371" customWidth="1"/>
    <col min="12803" max="12809" width="32.7109375" style="371" customWidth="1"/>
    <col min="12810" max="13056" width="8.85546875" style="371"/>
    <col min="13057" max="13057" width="8.28515625" style="371" customWidth="1"/>
    <col min="13058" max="13058" width="41" style="371" customWidth="1"/>
    <col min="13059" max="13065" width="32.7109375" style="371" customWidth="1"/>
    <col min="13066" max="13312" width="8.85546875" style="371"/>
    <col min="13313" max="13313" width="8.28515625" style="371" customWidth="1"/>
    <col min="13314" max="13314" width="41" style="371" customWidth="1"/>
    <col min="13315" max="13321" width="32.7109375" style="371" customWidth="1"/>
    <col min="13322" max="13568" width="8.85546875" style="371"/>
    <col min="13569" max="13569" width="8.28515625" style="371" customWidth="1"/>
    <col min="13570" max="13570" width="41" style="371" customWidth="1"/>
    <col min="13571" max="13577" width="32.7109375" style="371" customWidth="1"/>
    <col min="13578" max="13824" width="8.85546875" style="371"/>
    <col min="13825" max="13825" width="8.28515625" style="371" customWidth="1"/>
    <col min="13826" max="13826" width="41" style="371" customWidth="1"/>
    <col min="13827" max="13833" width="32.7109375" style="371" customWidth="1"/>
    <col min="13834" max="14080" width="8.85546875" style="371"/>
    <col min="14081" max="14081" width="8.28515625" style="371" customWidth="1"/>
    <col min="14082" max="14082" width="41" style="371" customWidth="1"/>
    <col min="14083" max="14089" width="32.7109375" style="371" customWidth="1"/>
    <col min="14090" max="14336" width="8.85546875" style="371"/>
    <col min="14337" max="14337" width="8.28515625" style="371" customWidth="1"/>
    <col min="14338" max="14338" width="41" style="371" customWidth="1"/>
    <col min="14339" max="14345" width="32.7109375" style="371" customWidth="1"/>
    <col min="14346" max="14592" width="8.85546875" style="371"/>
    <col min="14593" max="14593" width="8.28515625" style="371" customWidth="1"/>
    <col min="14594" max="14594" width="41" style="371" customWidth="1"/>
    <col min="14595" max="14601" width="32.7109375" style="371" customWidth="1"/>
    <col min="14602" max="14848" width="8.85546875" style="371"/>
    <col min="14849" max="14849" width="8.28515625" style="371" customWidth="1"/>
    <col min="14850" max="14850" width="41" style="371" customWidth="1"/>
    <col min="14851" max="14857" width="32.7109375" style="371" customWidth="1"/>
    <col min="14858" max="15104" width="8.85546875" style="371"/>
    <col min="15105" max="15105" width="8.28515625" style="371" customWidth="1"/>
    <col min="15106" max="15106" width="41" style="371" customWidth="1"/>
    <col min="15107" max="15113" width="32.7109375" style="371" customWidth="1"/>
    <col min="15114" max="15360" width="8.85546875" style="371"/>
    <col min="15361" max="15361" width="8.28515625" style="371" customWidth="1"/>
    <col min="15362" max="15362" width="41" style="371" customWidth="1"/>
    <col min="15363" max="15369" width="32.7109375" style="371" customWidth="1"/>
    <col min="15370" max="15616" width="8.85546875" style="371"/>
    <col min="15617" max="15617" width="8.28515625" style="371" customWidth="1"/>
    <col min="15618" max="15618" width="41" style="371" customWidth="1"/>
    <col min="15619" max="15625" width="32.7109375" style="371" customWidth="1"/>
    <col min="15626" max="15872" width="8.85546875" style="371"/>
    <col min="15873" max="15873" width="8.28515625" style="371" customWidth="1"/>
    <col min="15874" max="15874" width="41" style="371" customWidth="1"/>
    <col min="15875" max="15881" width="32.7109375" style="371" customWidth="1"/>
    <col min="15882" max="16128" width="8.85546875" style="371"/>
    <col min="16129" max="16129" width="8.28515625" style="371" customWidth="1"/>
    <col min="16130" max="16130" width="41" style="371" customWidth="1"/>
    <col min="16131" max="16137" width="32.7109375" style="371" customWidth="1"/>
    <col min="16138" max="16384" width="8.85546875" style="371"/>
  </cols>
  <sheetData>
    <row r="1" spans="1:9" x14ac:dyDescent="0.2">
      <c r="A1" s="437" t="s">
        <v>610</v>
      </c>
      <c r="B1" s="418"/>
      <c r="C1" s="418"/>
      <c r="D1" s="418"/>
      <c r="E1" s="418"/>
      <c r="F1" s="418"/>
      <c r="G1" s="418"/>
      <c r="H1" s="418"/>
      <c r="I1" s="418"/>
    </row>
    <row r="2" spans="1:9" x14ac:dyDescent="0.2">
      <c r="A2" s="438" t="s">
        <v>316</v>
      </c>
      <c r="B2" s="439"/>
      <c r="C2" s="439"/>
      <c r="D2" s="439"/>
      <c r="E2" s="439"/>
      <c r="F2" s="439"/>
      <c r="G2" s="439"/>
      <c r="H2" s="439"/>
      <c r="I2" s="439"/>
    </row>
    <row r="3" spans="1:9" x14ac:dyDescent="0.2">
      <c r="A3" s="438" t="s">
        <v>611</v>
      </c>
      <c r="B3" s="439"/>
      <c r="C3" s="439"/>
      <c r="D3" s="439"/>
      <c r="E3" s="439"/>
      <c r="F3" s="439"/>
      <c r="G3" s="439"/>
      <c r="H3" s="439"/>
      <c r="I3" s="439"/>
    </row>
    <row r="4" spans="1:9" x14ac:dyDescent="0.2">
      <c r="A4" s="382"/>
      <c r="B4" s="83"/>
      <c r="C4" s="83"/>
      <c r="D4" s="83"/>
      <c r="E4" s="83"/>
      <c r="F4" s="83"/>
      <c r="G4" s="83"/>
      <c r="H4" s="83"/>
      <c r="I4" s="83"/>
    </row>
    <row r="5" spans="1:9" ht="21" customHeight="1" x14ac:dyDescent="0.2">
      <c r="A5" s="435" t="s">
        <v>547</v>
      </c>
      <c r="B5" s="436"/>
      <c r="C5" s="436"/>
      <c r="D5" s="436"/>
      <c r="E5" s="436"/>
      <c r="F5" s="436"/>
      <c r="G5" s="436"/>
      <c r="H5" s="436"/>
      <c r="I5" s="436"/>
    </row>
    <row r="6" spans="1:9" ht="60" x14ac:dyDescent="0.2">
      <c r="A6" s="389" t="s">
        <v>390</v>
      </c>
      <c r="B6" s="389" t="s">
        <v>280</v>
      </c>
      <c r="C6" s="389" t="s">
        <v>548</v>
      </c>
      <c r="D6" s="389" t="s">
        <v>549</v>
      </c>
      <c r="E6" s="389" t="s">
        <v>550</v>
      </c>
      <c r="F6" s="389" t="s">
        <v>551</v>
      </c>
      <c r="G6" s="389" t="s">
        <v>552</v>
      </c>
      <c r="H6" s="389" t="s">
        <v>553</v>
      </c>
      <c r="I6" s="389" t="s">
        <v>554</v>
      </c>
    </row>
    <row r="7" spans="1:9" ht="15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  <c r="F7" s="389">
        <v>6</v>
      </c>
      <c r="G7" s="389">
        <v>7</v>
      </c>
      <c r="H7" s="389">
        <v>8</v>
      </c>
      <c r="I7" s="389">
        <v>9</v>
      </c>
    </row>
    <row r="8" spans="1:9" ht="25.5" x14ac:dyDescent="0.2">
      <c r="A8" s="386" t="s">
        <v>388</v>
      </c>
      <c r="B8" s="387" t="s">
        <v>555</v>
      </c>
      <c r="C8" s="388">
        <v>0</v>
      </c>
      <c r="D8" s="388">
        <v>0</v>
      </c>
      <c r="E8" s="388">
        <v>1114323</v>
      </c>
      <c r="F8" s="388">
        <v>0</v>
      </c>
      <c r="G8" s="388">
        <v>0</v>
      </c>
      <c r="H8" s="388">
        <v>0</v>
      </c>
      <c r="I8" s="388">
        <v>1114323</v>
      </c>
    </row>
    <row r="9" spans="1:9" ht="25.5" x14ac:dyDescent="0.2">
      <c r="A9" s="383" t="s">
        <v>386</v>
      </c>
      <c r="B9" s="384" t="s">
        <v>556</v>
      </c>
      <c r="C9" s="385">
        <v>0</v>
      </c>
      <c r="D9" s="385">
        <v>0</v>
      </c>
      <c r="E9" s="385">
        <v>0</v>
      </c>
      <c r="F9" s="385">
        <v>0</v>
      </c>
      <c r="G9" s="385">
        <v>329134</v>
      </c>
      <c r="H9" s="385">
        <v>0</v>
      </c>
      <c r="I9" s="385">
        <v>329134</v>
      </c>
    </row>
    <row r="10" spans="1:9" x14ac:dyDescent="0.2">
      <c r="A10" s="383" t="s">
        <v>382</v>
      </c>
      <c r="B10" s="384" t="s">
        <v>558</v>
      </c>
      <c r="C10" s="385">
        <v>0</v>
      </c>
      <c r="D10" s="385">
        <v>0</v>
      </c>
      <c r="E10" s="385">
        <v>329134</v>
      </c>
      <c r="F10" s="385">
        <v>0</v>
      </c>
      <c r="G10" s="385">
        <v>0</v>
      </c>
      <c r="H10" s="385">
        <v>0</v>
      </c>
      <c r="I10" s="385">
        <v>329134</v>
      </c>
    </row>
    <row r="11" spans="1:9" x14ac:dyDescent="0.2">
      <c r="A11" s="383" t="s">
        <v>376</v>
      </c>
      <c r="B11" s="384" t="s">
        <v>559</v>
      </c>
      <c r="C11" s="385">
        <v>0</v>
      </c>
      <c r="D11" s="385">
        <v>0</v>
      </c>
      <c r="E11" s="385">
        <v>1303458</v>
      </c>
      <c r="F11" s="385">
        <v>0</v>
      </c>
      <c r="G11" s="385">
        <v>0</v>
      </c>
      <c r="H11" s="385">
        <v>0</v>
      </c>
      <c r="I11" s="385">
        <v>1303458</v>
      </c>
    </row>
    <row r="12" spans="1:9" x14ac:dyDescent="0.2">
      <c r="A12" s="386" t="s">
        <v>511</v>
      </c>
      <c r="B12" s="387" t="s">
        <v>560</v>
      </c>
      <c r="C12" s="388">
        <v>0</v>
      </c>
      <c r="D12" s="388">
        <v>0</v>
      </c>
      <c r="E12" s="388">
        <v>1632592</v>
      </c>
      <c r="F12" s="388">
        <v>0</v>
      </c>
      <c r="G12" s="388">
        <v>329134</v>
      </c>
      <c r="H12" s="388">
        <v>0</v>
      </c>
      <c r="I12" s="388">
        <v>1961726</v>
      </c>
    </row>
    <row r="13" spans="1:9" x14ac:dyDescent="0.2">
      <c r="A13" s="383" t="s">
        <v>405</v>
      </c>
      <c r="B13" s="384" t="s">
        <v>561</v>
      </c>
      <c r="C13" s="385">
        <v>0</v>
      </c>
      <c r="D13" s="385">
        <v>0</v>
      </c>
      <c r="E13" s="385">
        <v>1303458</v>
      </c>
      <c r="F13" s="385">
        <v>0</v>
      </c>
      <c r="G13" s="385">
        <v>329134</v>
      </c>
      <c r="H13" s="385">
        <v>0</v>
      </c>
      <c r="I13" s="385">
        <v>1632592</v>
      </c>
    </row>
    <row r="14" spans="1:9" x14ac:dyDescent="0.2">
      <c r="A14" s="386" t="s">
        <v>520</v>
      </c>
      <c r="B14" s="387" t="s">
        <v>562</v>
      </c>
      <c r="C14" s="388">
        <v>0</v>
      </c>
      <c r="D14" s="388">
        <v>0</v>
      </c>
      <c r="E14" s="388">
        <v>1303458</v>
      </c>
      <c r="F14" s="388">
        <v>0</v>
      </c>
      <c r="G14" s="388">
        <v>329134</v>
      </c>
      <c r="H14" s="388">
        <v>0</v>
      </c>
      <c r="I14" s="388">
        <v>1632592</v>
      </c>
    </row>
    <row r="15" spans="1:9" x14ac:dyDescent="0.2">
      <c r="A15" s="386" t="s">
        <v>374</v>
      </c>
      <c r="B15" s="387" t="s">
        <v>563</v>
      </c>
      <c r="C15" s="388">
        <v>0</v>
      </c>
      <c r="D15" s="388">
        <v>0</v>
      </c>
      <c r="E15" s="388">
        <v>1443457</v>
      </c>
      <c r="F15" s="388">
        <v>0</v>
      </c>
      <c r="G15" s="388">
        <v>0</v>
      </c>
      <c r="H15" s="388">
        <v>0</v>
      </c>
      <c r="I15" s="388">
        <v>1443457</v>
      </c>
    </row>
    <row r="16" spans="1:9" ht="25.5" x14ac:dyDescent="0.2">
      <c r="A16" s="386" t="s">
        <v>407</v>
      </c>
      <c r="B16" s="387" t="s">
        <v>564</v>
      </c>
      <c r="C16" s="388">
        <v>0</v>
      </c>
      <c r="D16" s="388">
        <v>0</v>
      </c>
      <c r="E16" s="388">
        <v>1114323</v>
      </c>
      <c r="F16" s="388">
        <v>0</v>
      </c>
      <c r="G16" s="388">
        <v>0</v>
      </c>
      <c r="H16" s="388">
        <v>0</v>
      </c>
      <c r="I16" s="388">
        <v>1114323</v>
      </c>
    </row>
    <row r="17" spans="1:9" x14ac:dyDescent="0.2">
      <c r="A17" s="383" t="s">
        <v>372</v>
      </c>
      <c r="B17" s="384" t="s">
        <v>565</v>
      </c>
      <c r="C17" s="385">
        <v>0</v>
      </c>
      <c r="D17" s="385">
        <v>0</v>
      </c>
      <c r="E17" s="385">
        <v>329134</v>
      </c>
      <c r="F17" s="385">
        <v>0</v>
      </c>
      <c r="G17" s="385">
        <v>0</v>
      </c>
      <c r="H17" s="385">
        <v>0</v>
      </c>
      <c r="I17" s="385">
        <v>329134</v>
      </c>
    </row>
    <row r="18" spans="1:9" ht="25.5" x14ac:dyDescent="0.2">
      <c r="A18" s="386" t="s">
        <v>525</v>
      </c>
      <c r="B18" s="387" t="s">
        <v>566</v>
      </c>
      <c r="C18" s="388">
        <v>0</v>
      </c>
      <c r="D18" s="388">
        <v>0</v>
      </c>
      <c r="E18" s="388">
        <v>1443457</v>
      </c>
      <c r="F18" s="388">
        <v>0</v>
      </c>
      <c r="G18" s="388">
        <v>0</v>
      </c>
      <c r="H18" s="388">
        <v>0</v>
      </c>
      <c r="I18" s="388">
        <v>1443457</v>
      </c>
    </row>
    <row r="19" spans="1:9" x14ac:dyDescent="0.2">
      <c r="A19" s="386" t="s">
        <v>413</v>
      </c>
      <c r="B19" s="387" t="s">
        <v>567</v>
      </c>
      <c r="C19" s="388">
        <v>0</v>
      </c>
      <c r="D19" s="388">
        <v>0</v>
      </c>
      <c r="E19" s="388">
        <v>1443457</v>
      </c>
      <c r="F19" s="388">
        <v>0</v>
      </c>
      <c r="G19" s="388">
        <v>0</v>
      </c>
      <c r="H19" s="388">
        <v>0</v>
      </c>
      <c r="I19" s="388">
        <v>1443457</v>
      </c>
    </row>
    <row r="20" spans="1:9" x14ac:dyDescent="0.2">
      <c r="A20" s="383" t="s">
        <v>570</v>
      </c>
      <c r="B20" s="384" t="s">
        <v>571</v>
      </c>
      <c r="C20" s="385">
        <v>0</v>
      </c>
      <c r="D20" s="385">
        <v>0</v>
      </c>
      <c r="E20" s="385">
        <v>1443457</v>
      </c>
      <c r="F20" s="385">
        <v>0</v>
      </c>
      <c r="G20" s="385">
        <v>0</v>
      </c>
      <c r="H20" s="385">
        <v>0</v>
      </c>
      <c r="I20" s="385">
        <v>1443457</v>
      </c>
    </row>
  </sheetData>
  <mergeCells count="4">
    <mergeCell ref="A5:I5"/>
    <mergeCell ref="A1:I1"/>
    <mergeCell ref="A2:I2"/>
    <mergeCell ref="A3:I3"/>
  </mergeCells>
  <pageMargins left="0.75" right="0.75" top="1" bottom="1" header="0.5" footer="0.5"/>
  <pageSetup scale="62" orientation="landscape" horizontalDpi="300" verticalDpi="300" r:id="rId1"/>
  <headerFooter alignWithMargins="0">
    <oddHeader>&amp;C&amp;L&amp;RÉrték típus: Forint</oddHeader>
    <oddFooter>&amp;C&amp;LAdatellenőrző kód: -7475-6d3b-2c60122332205773-17-531752-76-4e2b45&amp;R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9"/>
  <sheetViews>
    <sheetView view="pageBreakPreview" zoomScale="80" zoomScaleNormal="80" zoomScaleSheetLayoutView="80" workbookViewId="0">
      <selection activeCell="F13" sqref="F13"/>
    </sheetView>
  </sheetViews>
  <sheetFormatPr defaultRowHeight="12.75" x14ac:dyDescent="0.2"/>
  <cols>
    <col min="1" max="1" width="8.28515625" style="371" customWidth="1"/>
    <col min="2" max="2" width="41" style="371" customWidth="1"/>
    <col min="3" max="12" width="20.7109375" style="371" customWidth="1"/>
    <col min="13" max="256" width="8.85546875" style="371"/>
    <col min="257" max="257" width="8.28515625" style="371" customWidth="1"/>
    <col min="258" max="258" width="41" style="371" customWidth="1"/>
    <col min="259" max="268" width="32.7109375" style="371" customWidth="1"/>
    <col min="269" max="512" width="8.85546875" style="371"/>
    <col min="513" max="513" width="8.28515625" style="371" customWidth="1"/>
    <col min="514" max="514" width="41" style="371" customWidth="1"/>
    <col min="515" max="524" width="32.7109375" style="371" customWidth="1"/>
    <col min="525" max="768" width="8.85546875" style="371"/>
    <col min="769" max="769" width="8.28515625" style="371" customWidth="1"/>
    <col min="770" max="770" width="41" style="371" customWidth="1"/>
    <col min="771" max="780" width="32.7109375" style="371" customWidth="1"/>
    <col min="781" max="1024" width="8.85546875" style="371"/>
    <col min="1025" max="1025" width="8.28515625" style="371" customWidth="1"/>
    <col min="1026" max="1026" width="41" style="371" customWidth="1"/>
    <col min="1027" max="1036" width="32.7109375" style="371" customWidth="1"/>
    <col min="1037" max="1280" width="8.85546875" style="371"/>
    <col min="1281" max="1281" width="8.28515625" style="371" customWidth="1"/>
    <col min="1282" max="1282" width="41" style="371" customWidth="1"/>
    <col min="1283" max="1292" width="32.7109375" style="371" customWidth="1"/>
    <col min="1293" max="1536" width="8.85546875" style="371"/>
    <col min="1537" max="1537" width="8.28515625" style="371" customWidth="1"/>
    <col min="1538" max="1538" width="41" style="371" customWidth="1"/>
    <col min="1539" max="1548" width="32.7109375" style="371" customWidth="1"/>
    <col min="1549" max="1792" width="8.85546875" style="371"/>
    <col min="1793" max="1793" width="8.28515625" style="371" customWidth="1"/>
    <col min="1794" max="1794" width="41" style="371" customWidth="1"/>
    <col min="1795" max="1804" width="32.7109375" style="371" customWidth="1"/>
    <col min="1805" max="2048" width="8.85546875" style="371"/>
    <col min="2049" max="2049" width="8.28515625" style="371" customWidth="1"/>
    <col min="2050" max="2050" width="41" style="371" customWidth="1"/>
    <col min="2051" max="2060" width="32.7109375" style="371" customWidth="1"/>
    <col min="2061" max="2304" width="8.85546875" style="371"/>
    <col min="2305" max="2305" width="8.28515625" style="371" customWidth="1"/>
    <col min="2306" max="2306" width="41" style="371" customWidth="1"/>
    <col min="2307" max="2316" width="32.7109375" style="371" customWidth="1"/>
    <col min="2317" max="2560" width="8.85546875" style="371"/>
    <col min="2561" max="2561" width="8.28515625" style="371" customWidth="1"/>
    <col min="2562" max="2562" width="41" style="371" customWidth="1"/>
    <col min="2563" max="2572" width="32.7109375" style="371" customWidth="1"/>
    <col min="2573" max="2816" width="8.85546875" style="371"/>
    <col min="2817" max="2817" width="8.28515625" style="371" customWidth="1"/>
    <col min="2818" max="2818" width="41" style="371" customWidth="1"/>
    <col min="2819" max="2828" width="32.7109375" style="371" customWidth="1"/>
    <col min="2829" max="3072" width="8.85546875" style="371"/>
    <col min="3073" max="3073" width="8.28515625" style="371" customWidth="1"/>
    <col min="3074" max="3074" width="41" style="371" customWidth="1"/>
    <col min="3075" max="3084" width="32.7109375" style="371" customWidth="1"/>
    <col min="3085" max="3328" width="8.85546875" style="371"/>
    <col min="3329" max="3329" width="8.28515625" style="371" customWidth="1"/>
    <col min="3330" max="3330" width="41" style="371" customWidth="1"/>
    <col min="3331" max="3340" width="32.7109375" style="371" customWidth="1"/>
    <col min="3341" max="3584" width="8.85546875" style="371"/>
    <col min="3585" max="3585" width="8.28515625" style="371" customWidth="1"/>
    <col min="3586" max="3586" width="41" style="371" customWidth="1"/>
    <col min="3587" max="3596" width="32.7109375" style="371" customWidth="1"/>
    <col min="3597" max="3840" width="8.85546875" style="371"/>
    <col min="3841" max="3841" width="8.28515625" style="371" customWidth="1"/>
    <col min="3842" max="3842" width="41" style="371" customWidth="1"/>
    <col min="3843" max="3852" width="32.7109375" style="371" customWidth="1"/>
    <col min="3853" max="4096" width="8.85546875" style="371"/>
    <col min="4097" max="4097" width="8.28515625" style="371" customWidth="1"/>
    <col min="4098" max="4098" width="41" style="371" customWidth="1"/>
    <col min="4099" max="4108" width="32.7109375" style="371" customWidth="1"/>
    <col min="4109" max="4352" width="8.85546875" style="371"/>
    <col min="4353" max="4353" width="8.28515625" style="371" customWidth="1"/>
    <col min="4354" max="4354" width="41" style="371" customWidth="1"/>
    <col min="4355" max="4364" width="32.7109375" style="371" customWidth="1"/>
    <col min="4365" max="4608" width="8.85546875" style="371"/>
    <col min="4609" max="4609" width="8.28515625" style="371" customWidth="1"/>
    <col min="4610" max="4610" width="41" style="371" customWidth="1"/>
    <col min="4611" max="4620" width="32.7109375" style="371" customWidth="1"/>
    <col min="4621" max="4864" width="8.85546875" style="371"/>
    <col min="4865" max="4865" width="8.28515625" style="371" customWidth="1"/>
    <col min="4866" max="4866" width="41" style="371" customWidth="1"/>
    <col min="4867" max="4876" width="32.7109375" style="371" customWidth="1"/>
    <col min="4877" max="5120" width="8.85546875" style="371"/>
    <col min="5121" max="5121" width="8.28515625" style="371" customWidth="1"/>
    <col min="5122" max="5122" width="41" style="371" customWidth="1"/>
    <col min="5123" max="5132" width="32.7109375" style="371" customWidth="1"/>
    <col min="5133" max="5376" width="8.85546875" style="371"/>
    <col min="5377" max="5377" width="8.28515625" style="371" customWidth="1"/>
    <col min="5378" max="5378" width="41" style="371" customWidth="1"/>
    <col min="5379" max="5388" width="32.7109375" style="371" customWidth="1"/>
    <col min="5389" max="5632" width="8.85546875" style="371"/>
    <col min="5633" max="5633" width="8.28515625" style="371" customWidth="1"/>
    <col min="5634" max="5634" width="41" style="371" customWidth="1"/>
    <col min="5635" max="5644" width="32.7109375" style="371" customWidth="1"/>
    <col min="5645" max="5888" width="8.85546875" style="371"/>
    <col min="5889" max="5889" width="8.28515625" style="371" customWidth="1"/>
    <col min="5890" max="5890" width="41" style="371" customWidth="1"/>
    <col min="5891" max="5900" width="32.7109375" style="371" customWidth="1"/>
    <col min="5901" max="6144" width="8.85546875" style="371"/>
    <col min="6145" max="6145" width="8.28515625" style="371" customWidth="1"/>
    <col min="6146" max="6146" width="41" style="371" customWidth="1"/>
    <col min="6147" max="6156" width="32.7109375" style="371" customWidth="1"/>
    <col min="6157" max="6400" width="8.85546875" style="371"/>
    <col min="6401" max="6401" width="8.28515625" style="371" customWidth="1"/>
    <col min="6402" max="6402" width="41" style="371" customWidth="1"/>
    <col min="6403" max="6412" width="32.7109375" style="371" customWidth="1"/>
    <col min="6413" max="6656" width="8.85546875" style="371"/>
    <col min="6657" max="6657" width="8.28515625" style="371" customWidth="1"/>
    <col min="6658" max="6658" width="41" style="371" customWidth="1"/>
    <col min="6659" max="6668" width="32.7109375" style="371" customWidth="1"/>
    <col min="6669" max="6912" width="8.85546875" style="371"/>
    <col min="6913" max="6913" width="8.28515625" style="371" customWidth="1"/>
    <col min="6914" max="6914" width="41" style="371" customWidth="1"/>
    <col min="6915" max="6924" width="32.7109375" style="371" customWidth="1"/>
    <col min="6925" max="7168" width="8.85546875" style="371"/>
    <col min="7169" max="7169" width="8.28515625" style="371" customWidth="1"/>
    <col min="7170" max="7170" width="41" style="371" customWidth="1"/>
    <col min="7171" max="7180" width="32.7109375" style="371" customWidth="1"/>
    <col min="7181" max="7424" width="8.85546875" style="371"/>
    <col min="7425" max="7425" width="8.28515625" style="371" customWidth="1"/>
    <col min="7426" max="7426" width="41" style="371" customWidth="1"/>
    <col min="7427" max="7436" width="32.7109375" style="371" customWidth="1"/>
    <col min="7437" max="7680" width="8.85546875" style="371"/>
    <col min="7681" max="7681" width="8.28515625" style="371" customWidth="1"/>
    <col min="7682" max="7682" width="41" style="371" customWidth="1"/>
    <col min="7683" max="7692" width="32.7109375" style="371" customWidth="1"/>
    <col min="7693" max="7936" width="8.85546875" style="371"/>
    <col min="7937" max="7937" width="8.28515625" style="371" customWidth="1"/>
    <col min="7938" max="7938" width="41" style="371" customWidth="1"/>
    <col min="7939" max="7948" width="32.7109375" style="371" customWidth="1"/>
    <col min="7949" max="8192" width="8.85546875" style="371"/>
    <col min="8193" max="8193" width="8.28515625" style="371" customWidth="1"/>
    <col min="8194" max="8194" width="41" style="371" customWidth="1"/>
    <col min="8195" max="8204" width="32.7109375" style="371" customWidth="1"/>
    <col min="8205" max="8448" width="8.85546875" style="371"/>
    <col min="8449" max="8449" width="8.28515625" style="371" customWidth="1"/>
    <col min="8450" max="8450" width="41" style="371" customWidth="1"/>
    <col min="8451" max="8460" width="32.7109375" style="371" customWidth="1"/>
    <col min="8461" max="8704" width="8.85546875" style="371"/>
    <col min="8705" max="8705" width="8.28515625" style="371" customWidth="1"/>
    <col min="8706" max="8706" width="41" style="371" customWidth="1"/>
    <col min="8707" max="8716" width="32.7109375" style="371" customWidth="1"/>
    <col min="8717" max="8960" width="8.85546875" style="371"/>
    <col min="8961" max="8961" width="8.28515625" style="371" customWidth="1"/>
    <col min="8962" max="8962" width="41" style="371" customWidth="1"/>
    <col min="8963" max="8972" width="32.7109375" style="371" customWidth="1"/>
    <col min="8973" max="9216" width="8.85546875" style="371"/>
    <col min="9217" max="9217" width="8.28515625" style="371" customWidth="1"/>
    <col min="9218" max="9218" width="41" style="371" customWidth="1"/>
    <col min="9219" max="9228" width="32.7109375" style="371" customWidth="1"/>
    <col min="9229" max="9472" width="8.85546875" style="371"/>
    <col min="9473" max="9473" width="8.28515625" style="371" customWidth="1"/>
    <col min="9474" max="9474" width="41" style="371" customWidth="1"/>
    <col min="9475" max="9484" width="32.7109375" style="371" customWidth="1"/>
    <col min="9485" max="9728" width="8.85546875" style="371"/>
    <col min="9729" max="9729" width="8.28515625" style="371" customWidth="1"/>
    <col min="9730" max="9730" width="41" style="371" customWidth="1"/>
    <col min="9731" max="9740" width="32.7109375" style="371" customWidth="1"/>
    <col min="9741" max="9984" width="8.85546875" style="371"/>
    <col min="9985" max="9985" width="8.28515625" style="371" customWidth="1"/>
    <col min="9986" max="9986" width="41" style="371" customWidth="1"/>
    <col min="9987" max="9996" width="32.7109375" style="371" customWidth="1"/>
    <col min="9997" max="10240" width="8.85546875" style="371"/>
    <col min="10241" max="10241" width="8.28515625" style="371" customWidth="1"/>
    <col min="10242" max="10242" width="41" style="371" customWidth="1"/>
    <col min="10243" max="10252" width="32.7109375" style="371" customWidth="1"/>
    <col min="10253" max="10496" width="8.85546875" style="371"/>
    <col min="10497" max="10497" width="8.28515625" style="371" customWidth="1"/>
    <col min="10498" max="10498" width="41" style="371" customWidth="1"/>
    <col min="10499" max="10508" width="32.7109375" style="371" customWidth="1"/>
    <col min="10509" max="10752" width="8.85546875" style="371"/>
    <col min="10753" max="10753" width="8.28515625" style="371" customWidth="1"/>
    <col min="10754" max="10754" width="41" style="371" customWidth="1"/>
    <col min="10755" max="10764" width="32.7109375" style="371" customWidth="1"/>
    <col min="10765" max="11008" width="8.85546875" style="371"/>
    <col min="11009" max="11009" width="8.28515625" style="371" customWidth="1"/>
    <col min="11010" max="11010" width="41" style="371" customWidth="1"/>
    <col min="11011" max="11020" width="32.7109375" style="371" customWidth="1"/>
    <col min="11021" max="11264" width="8.85546875" style="371"/>
    <col min="11265" max="11265" width="8.28515625" style="371" customWidth="1"/>
    <col min="11266" max="11266" width="41" style="371" customWidth="1"/>
    <col min="11267" max="11276" width="32.7109375" style="371" customWidth="1"/>
    <col min="11277" max="11520" width="8.85546875" style="371"/>
    <col min="11521" max="11521" width="8.28515625" style="371" customWidth="1"/>
    <col min="11522" max="11522" width="41" style="371" customWidth="1"/>
    <col min="11523" max="11532" width="32.7109375" style="371" customWidth="1"/>
    <col min="11533" max="11776" width="8.85546875" style="371"/>
    <col min="11777" max="11777" width="8.28515625" style="371" customWidth="1"/>
    <col min="11778" max="11778" width="41" style="371" customWidth="1"/>
    <col min="11779" max="11788" width="32.7109375" style="371" customWidth="1"/>
    <col min="11789" max="12032" width="8.85546875" style="371"/>
    <col min="12033" max="12033" width="8.28515625" style="371" customWidth="1"/>
    <col min="12034" max="12034" width="41" style="371" customWidth="1"/>
    <col min="12035" max="12044" width="32.7109375" style="371" customWidth="1"/>
    <col min="12045" max="12288" width="8.85546875" style="371"/>
    <col min="12289" max="12289" width="8.28515625" style="371" customWidth="1"/>
    <col min="12290" max="12290" width="41" style="371" customWidth="1"/>
    <col min="12291" max="12300" width="32.7109375" style="371" customWidth="1"/>
    <col min="12301" max="12544" width="8.85546875" style="371"/>
    <col min="12545" max="12545" width="8.28515625" style="371" customWidth="1"/>
    <col min="12546" max="12546" width="41" style="371" customWidth="1"/>
    <col min="12547" max="12556" width="32.7109375" style="371" customWidth="1"/>
    <col min="12557" max="12800" width="8.85546875" style="371"/>
    <col min="12801" max="12801" width="8.28515625" style="371" customWidth="1"/>
    <col min="12802" max="12802" width="41" style="371" customWidth="1"/>
    <col min="12803" max="12812" width="32.7109375" style="371" customWidth="1"/>
    <col min="12813" max="13056" width="8.85546875" style="371"/>
    <col min="13057" max="13057" width="8.28515625" style="371" customWidth="1"/>
    <col min="13058" max="13058" width="41" style="371" customWidth="1"/>
    <col min="13059" max="13068" width="32.7109375" style="371" customWidth="1"/>
    <col min="13069" max="13312" width="8.85546875" style="371"/>
    <col min="13313" max="13313" width="8.28515625" style="371" customWidth="1"/>
    <col min="13314" max="13314" width="41" style="371" customWidth="1"/>
    <col min="13315" max="13324" width="32.7109375" style="371" customWidth="1"/>
    <col min="13325" max="13568" width="8.85546875" style="371"/>
    <col min="13569" max="13569" width="8.28515625" style="371" customWidth="1"/>
    <col min="13570" max="13570" width="41" style="371" customWidth="1"/>
    <col min="13571" max="13580" width="32.7109375" style="371" customWidth="1"/>
    <col min="13581" max="13824" width="8.85546875" style="371"/>
    <col min="13825" max="13825" width="8.28515625" style="371" customWidth="1"/>
    <col min="13826" max="13826" width="41" style="371" customWidth="1"/>
    <col min="13827" max="13836" width="32.7109375" style="371" customWidth="1"/>
    <col min="13837" max="14080" width="8.85546875" style="371"/>
    <col min="14081" max="14081" width="8.28515625" style="371" customWidth="1"/>
    <col min="14082" max="14082" width="41" style="371" customWidth="1"/>
    <col min="14083" max="14092" width="32.7109375" style="371" customWidth="1"/>
    <col min="14093" max="14336" width="8.85546875" style="371"/>
    <col min="14337" max="14337" width="8.28515625" style="371" customWidth="1"/>
    <col min="14338" max="14338" width="41" style="371" customWidth="1"/>
    <col min="14339" max="14348" width="32.7109375" style="371" customWidth="1"/>
    <col min="14349" max="14592" width="8.85546875" style="371"/>
    <col min="14593" max="14593" width="8.28515625" style="371" customWidth="1"/>
    <col min="14594" max="14594" width="41" style="371" customWidth="1"/>
    <col min="14595" max="14604" width="32.7109375" style="371" customWidth="1"/>
    <col min="14605" max="14848" width="8.85546875" style="371"/>
    <col min="14849" max="14849" width="8.28515625" style="371" customWidth="1"/>
    <col min="14850" max="14850" width="41" style="371" customWidth="1"/>
    <col min="14851" max="14860" width="32.7109375" style="371" customWidth="1"/>
    <col min="14861" max="15104" width="8.85546875" style="371"/>
    <col min="15105" max="15105" width="8.28515625" style="371" customWidth="1"/>
    <col min="15106" max="15106" width="41" style="371" customWidth="1"/>
    <col min="15107" max="15116" width="32.7109375" style="371" customWidth="1"/>
    <col min="15117" max="15360" width="8.85546875" style="371"/>
    <col min="15361" max="15361" width="8.28515625" style="371" customWidth="1"/>
    <col min="15362" max="15362" width="41" style="371" customWidth="1"/>
    <col min="15363" max="15372" width="32.7109375" style="371" customWidth="1"/>
    <col min="15373" max="15616" width="8.85546875" style="371"/>
    <col min="15617" max="15617" width="8.28515625" style="371" customWidth="1"/>
    <col min="15618" max="15618" width="41" style="371" customWidth="1"/>
    <col min="15619" max="15628" width="32.7109375" style="371" customWidth="1"/>
    <col min="15629" max="15872" width="8.85546875" style="371"/>
    <col min="15873" max="15873" width="8.28515625" style="371" customWidth="1"/>
    <col min="15874" max="15874" width="41" style="371" customWidth="1"/>
    <col min="15875" max="15884" width="32.7109375" style="371" customWidth="1"/>
    <col min="15885" max="16128" width="8.85546875" style="371"/>
    <col min="16129" max="16129" width="8.28515625" style="371" customWidth="1"/>
    <col min="16130" max="16130" width="41" style="371" customWidth="1"/>
    <col min="16131" max="16140" width="32.7109375" style="371" customWidth="1"/>
    <col min="16141" max="16384" width="8.85546875" style="371"/>
  </cols>
  <sheetData>
    <row r="1" spans="1:12" x14ac:dyDescent="0.2">
      <c r="A1" s="437" t="s">
        <v>620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2" x14ac:dyDescent="0.2">
      <c r="A2" s="438" t="s">
        <v>316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x14ac:dyDescent="0.2">
      <c r="A3" s="438" t="s">
        <v>150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1:12" x14ac:dyDescent="0.2">
      <c r="A4" s="3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2">
      <c r="A5" s="435" t="s">
        <v>574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6" spans="1:12" ht="75" x14ac:dyDescent="0.2">
      <c r="A6" s="389" t="s">
        <v>390</v>
      </c>
      <c r="B6" s="389" t="s">
        <v>280</v>
      </c>
      <c r="C6" s="389" t="s">
        <v>575</v>
      </c>
      <c r="D6" s="389" t="s">
        <v>154</v>
      </c>
      <c r="E6" s="389" t="s">
        <v>576</v>
      </c>
      <c r="F6" s="389" t="s">
        <v>577</v>
      </c>
      <c r="G6" s="389" t="s">
        <v>578</v>
      </c>
      <c r="H6" s="389" t="s">
        <v>334</v>
      </c>
      <c r="I6" s="389" t="s">
        <v>579</v>
      </c>
      <c r="J6" s="389" t="s">
        <v>580</v>
      </c>
      <c r="K6" s="389" t="s">
        <v>160</v>
      </c>
      <c r="L6" s="389" t="s">
        <v>581</v>
      </c>
    </row>
    <row r="7" spans="1:12" ht="15" x14ac:dyDescent="0.2">
      <c r="A7" s="389">
        <v>1</v>
      </c>
      <c r="B7" s="389">
        <v>2</v>
      </c>
      <c r="C7" s="389">
        <v>3</v>
      </c>
      <c r="D7" s="389">
        <v>4</v>
      </c>
      <c r="E7" s="389">
        <v>5</v>
      </c>
      <c r="F7" s="389">
        <v>6</v>
      </c>
      <c r="G7" s="389">
        <v>7</v>
      </c>
      <c r="H7" s="389">
        <v>8</v>
      </c>
      <c r="I7" s="389">
        <v>9</v>
      </c>
      <c r="J7" s="389">
        <v>10</v>
      </c>
      <c r="K7" s="389">
        <v>11</v>
      </c>
      <c r="L7" s="389">
        <v>12</v>
      </c>
    </row>
    <row r="8" spans="1:12" ht="25.5" x14ac:dyDescent="0.2">
      <c r="A8" s="383" t="s">
        <v>415</v>
      </c>
      <c r="B8" s="384" t="s">
        <v>612</v>
      </c>
      <c r="C8" s="385">
        <v>1</v>
      </c>
      <c r="D8" s="385">
        <v>4430758</v>
      </c>
      <c r="E8" s="385">
        <v>60151</v>
      </c>
      <c r="F8" s="385">
        <v>0</v>
      </c>
      <c r="G8" s="385">
        <v>0</v>
      </c>
      <c r="H8" s="385">
        <v>0</v>
      </c>
      <c r="I8" s="385">
        <v>160750</v>
      </c>
      <c r="J8" s="385">
        <v>0</v>
      </c>
      <c r="K8" s="385">
        <v>0</v>
      </c>
      <c r="L8" s="385">
        <v>0</v>
      </c>
    </row>
    <row r="9" spans="1:12" x14ac:dyDescent="0.2">
      <c r="A9" s="383" t="s">
        <v>582</v>
      </c>
      <c r="B9" s="384" t="s">
        <v>583</v>
      </c>
      <c r="C9" s="385">
        <v>1</v>
      </c>
      <c r="D9" s="385">
        <v>3089461</v>
      </c>
      <c r="E9" s="385">
        <v>45113</v>
      </c>
      <c r="F9" s="385">
        <v>103004</v>
      </c>
      <c r="G9" s="385">
        <v>0</v>
      </c>
      <c r="H9" s="385">
        <v>0</v>
      </c>
      <c r="I9" s="385">
        <v>63295</v>
      </c>
      <c r="J9" s="385">
        <v>0</v>
      </c>
      <c r="K9" s="385">
        <v>479136</v>
      </c>
      <c r="L9" s="385">
        <v>0</v>
      </c>
    </row>
    <row r="10" spans="1:12" x14ac:dyDescent="0.2">
      <c r="A10" s="383" t="s">
        <v>613</v>
      </c>
      <c r="B10" s="384" t="s">
        <v>614</v>
      </c>
      <c r="C10" s="385">
        <v>4</v>
      </c>
      <c r="D10" s="385">
        <v>13344296</v>
      </c>
      <c r="E10" s="385">
        <v>635339</v>
      </c>
      <c r="F10" s="385">
        <v>265774</v>
      </c>
      <c r="G10" s="385">
        <v>390000</v>
      </c>
      <c r="H10" s="385">
        <v>92500</v>
      </c>
      <c r="I10" s="385">
        <v>131845</v>
      </c>
      <c r="J10" s="385">
        <v>0</v>
      </c>
      <c r="K10" s="385">
        <v>646964</v>
      </c>
      <c r="L10" s="385">
        <v>0</v>
      </c>
    </row>
    <row r="11" spans="1:12" x14ac:dyDescent="0.2">
      <c r="A11" s="383" t="s">
        <v>535</v>
      </c>
      <c r="B11" s="384" t="s">
        <v>615</v>
      </c>
      <c r="C11" s="385">
        <v>1</v>
      </c>
      <c r="D11" s="385">
        <v>3322743</v>
      </c>
      <c r="E11" s="385">
        <v>52631</v>
      </c>
      <c r="F11" s="385">
        <v>0</v>
      </c>
      <c r="G11" s="385">
        <v>0</v>
      </c>
      <c r="H11" s="385">
        <v>0</v>
      </c>
      <c r="I11" s="385">
        <v>0</v>
      </c>
      <c r="J11" s="385">
        <v>0</v>
      </c>
      <c r="K11" s="385">
        <v>220483</v>
      </c>
      <c r="L11" s="385">
        <v>0</v>
      </c>
    </row>
    <row r="12" spans="1:12" ht="25.5" x14ac:dyDescent="0.2">
      <c r="A12" s="386" t="s">
        <v>584</v>
      </c>
      <c r="B12" s="387" t="s">
        <v>585</v>
      </c>
      <c r="C12" s="388">
        <v>7</v>
      </c>
      <c r="D12" s="388">
        <v>24187258</v>
      </c>
      <c r="E12" s="388">
        <v>793234</v>
      </c>
      <c r="F12" s="388">
        <v>368778</v>
      </c>
      <c r="G12" s="388">
        <v>390000</v>
      </c>
      <c r="H12" s="388">
        <v>92500</v>
      </c>
      <c r="I12" s="388">
        <v>355890</v>
      </c>
      <c r="J12" s="388">
        <v>0</v>
      </c>
      <c r="K12" s="388">
        <v>1346583</v>
      </c>
      <c r="L12" s="388">
        <v>0</v>
      </c>
    </row>
    <row r="13" spans="1:12" ht="38.25" x14ac:dyDescent="0.2">
      <c r="A13" s="383" t="s">
        <v>586</v>
      </c>
      <c r="B13" s="384" t="s">
        <v>587</v>
      </c>
      <c r="C13" s="385">
        <v>1</v>
      </c>
      <c r="D13" s="385">
        <v>1836000</v>
      </c>
      <c r="E13" s="385">
        <v>30075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105600</v>
      </c>
      <c r="L13" s="385">
        <v>0</v>
      </c>
    </row>
    <row r="14" spans="1:12" x14ac:dyDescent="0.2">
      <c r="A14" s="383" t="s">
        <v>588</v>
      </c>
      <c r="B14" s="384" t="s">
        <v>589</v>
      </c>
      <c r="C14" s="385">
        <v>1</v>
      </c>
      <c r="D14" s="385">
        <v>1036596</v>
      </c>
      <c r="E14" s="385">
        <v>30075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85">
        <v>0</v>
      </c>
      <c r="L14" s="385">
        <v>0</v>
      </c>
    </row>
    <row r="15" spans="1:12" ht="25.5" x14ac:dyDescent="0.2">
      <c r="A15" s="386" t="s">
        <v>590</v>
      </c>
      <c r="B15" s="387" t="s">
        <v>591</v>
      </c>
      <c r="C15" s="388">
        <v>2</v>
      </c>
      <c r="D15" s="388">
        <v>2872596</v>
      </c>
      <c r="E15" s="388">
        <v>60150</v>
      </c>
      <c r="F15" s="388">
        <v>0</v>
      </c>
      <c r="G15" s="388">
        <v>0</v>
      </c>
      <c r="H15" s="388">
        <v>0</v>
      </c>
      <c r="I15" s="388">
        <v>0</v>
      </c>
      <c r="J15" s="388">
        <v>0</v>
      </c>
      <c r="K15" s="388">
        <v>105600</v>
      </c>
      <c r="L15" s="388">
        <v>0</v>
      </c>
    </row>
    <row r="16" spans="1:12" ht="25.5" x14ac:dyDescent="0.2">
      <c r="A16" s="386" t="s">
        <v>600</v>
      </c>
      <c r="B16" s="387" t="s">
        <v>601</v>
      </c>
      <c r="C16" s="388">
        <v>9</v>
      </c>
      <c r="D16" s="388">
        <v>27059854</v>
      </c>
      <c r="E16" s="388">
        <v>853384</v>
      </c>
      <c r="F16" s="388">
        <v>368778</v>
      </c>
      <c r="G16" s="388">
        <v>390000</v>
      </c>
      <c r="H16" s="388">
        <v>92500</v>
      </c>
      <c r="I16" s="388">
        <v>355890</v>
      </c>
      <c r="J16" s="388">
        <v>0</v>
      </c>
      <c r="K16" s="388">
        <v>1452183</v>
      </c>
      <c r="L16" s="388">
        <v>0</v>
      </c>
    </row>
    <row r="17" spans="1:12" ht="38.25" x14ac:dyDescent="0.2">
      <c r="A17" s="383" t="s">
        <v>616</v>
      </c>
      <c r="B17" s="384" t="s">
        <v>617</v>
      </c>
      <c r="C17" s="385">
        <v>9</v>
      </c>
      <c r="D17" s="385">
        <v>0</v>
      </c>
      <c r="E17" s="385">
        <v>0</v>
      </c>
      <c r="F17" s="385">
        <v>0</v>
      </c>
      <c r="G17" s="385">
        <v>0</v>
      </c>
      <c r="H17" s="385">
        <v>0</v>
      </c>
      <c r="I17" s="385">
        <v>0</v>
      </c>
      <c r="J17" s="385">
        <v>0</v>
      </c>
      <c r="K17" s="385">
        <v>0</v>
      </c>
      <c r="L17" s="385">
        <v>0</v>
      </c>
    </row>
    <row r="18" spans="1:12" ht="25.5" x14ac:dyDescent="0.2">
      <c r="A18" s="383" t="s">
        <v>618</v>
      </c>
      <c r="B18" s="384" t="s">
        <v>619</v>
      </c>
      <c r="C18" s="385">
        <v>9</v>
      </c>
      <c r="D18" s="385">
        <v>0</v>
      </c>
      <c r="E18" s="385">
        <v>0</v>
      </c>
      <c r="F18" s="385">
        <v>0</v>
      </c>
      <c r="G18" s="385">
        <v>0</v>
      </c>
      <c r="H18" s="385">
        <v>0</v>
      </c>
      <c r="I18" s="385">
        <v>0</v>
      </c>
      <c r="J18" s="385">
        <v>0</v>
      </c>
      <c r="K18" s="385">
        <v>0</v>
      </c>
      <c r="L18" s="385">
        <v>0</v>
      </c>
    </row>
    <row r="19" spans="1:12" ht="38.25" x14ac:dyDescent="0.2">
      <c r="A19" s="383" t="s">
        <v>602</v>
      </c>
      <c r="B19" s="384" t="s">
        <v>603</v>
      </c>
      <c r="C19" s="385">
        <v>9</v>
      </c>
      <c r="D19" s="385">
        <v>0</v>
      </c>
      <c r="E19" s="385">
        <v>0</v>
      </c>
      <c r="F19" s="385">
        <v>0</v>
      </c>
      <c r="G19" s="385">
        <v>0</v>
      </c>
      <c r="H19" s="385">
        <v>0</v>
      </c>
      <c r="I19" s="385">
        <v>0</v>
      </c>
      <c r="J19" s="385">
        <v>0</v>
      </c>
      <c r="K19" s="385">
        <v>0</v>
      </c>
      <c r="L19" s="385">
        <v>0</v>
      </c>
    </row>
  </sheetData>
  <mergeCells count="4">
    <mergeCell ref="A5:L5"/>
    <mergeCell ref="A1:L1"/>
    <mergeCell ref="A2:L2"/>
    <mergeCell ref="A3:L3"/>
  </mergeCells>
  <pageMargins left="0.75" right="0.75" top="1" bottom="1" header="0.5" footer="0.5"/>
  <pageSetup scale="47" orientation="landscape" horizontalDpi="300" verticalDpi="300" r:id="rId1"/>
  <headerFooter alignWithMargins="0">
    <oddHeader>&amp;C&amp;L&amp;RÉrték típus: Fő</oddHeader>
    <oddFooter>&amp;C&amp;LAdatellenőrző kód: -7475-6d3b-2c60122332205773-17-531752-76-4e2b45&amp;R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7"/>
  <sheetViews>
    <sheetView view="pageBreakPreview" zoomScale="120" zoomScaleNormal="120" zoomScaleSheetLayoutView="120" workbookViewId="0">
      <selection activeCell="A2" sqref="A2:G2"/>
    </sheetView>
  </sheetViews>
  <sheetFormatPr defaultColWidth="9.140625" defaultRowHeight="12.75" x14ac:dyDescent="0.2"/>
  <cols>
    <col min="1" max="1" width="3.85546875" style="1" customWidth="1"/>
    <col min="2" max="2" width="4.5703125" style="1" customWidth="1"/>
    <col min="3" max="3" width="5.85546875" style="1" customWidth="1"/>
    <col min="4" max="4" width="4.7109375" style="1" customWidth="1"/>
    <col min="5" max="5" width="65.7109375" style="1" customWidth="1"/>
    <col min="6" max="6" width="14.5703125" customWidth="1"/>
    <col min="7" max="7" width="15.28515625" style="1" customWidth="1"/>
    <col min="8" max="8" width="14.7109375" style="1" customWidth="1"/>
    <col min="9" max="9" width="14.42578125" style="1" customWidth="1"/>
    <col min="10" max="16384" width="9.140625" style="1"/>
  </cols>
  <sheetData>
    <row r="1" spans="1:9" ht="15.75" x14ac:dyDescent="0.25">
      <c r="A1" s="399" t="s">
        <v>369</v>
      </c>
      <c r="B1" s="399"/>
      <c r="C1" s="399"/>
      <c r="D1" s="399"/>
      <c r="E1" s="399"/>
      <c r="F1" s="399"/>
      <c r="G1" s="399"/>
      <c r="H1" s="394"/>
      <c r="I1" s="394"/>
    </row>
    <row r="2" spans="1:9" s="27" customFormat="1" ht="16.5" customHeight="1" x14ac:dyDescent="0.25">
      <c r="A2" s="399"/>
      <c r="B2" s="399"/>
      <c r="C2" s="399"/>
      <c r="D2" s="399"/>
      <c r="E2" s="399"/>
      <c r="F2" s="399"/>
      <c r="G2" s="399"/>
    </row>
    <row r="3" spans="1:9" s="4" customFormat="1" ht="23.25" customHeight="1" x14ac:dyDescent="0.25">
      <c r="A3" s="395" t="s">
        <v>0</v>
      </c>
      <c r="B3" s="395"/>
      <c r="C3" s="395"/>
      <c r="D3" s="395"/>
      <c r="E3" s="395"/>
      <c r="F3" s="394"/>
      <c r="G3" s="394"/>
      <c r="H3" s="394"/>
      <c r="I3" s="394"/>
    </row>
    <row r="4" spans="1:9" s="4" customFormat="1" ht="20.25" customHeight="1" x14ac:dyDescent="0.25">
      <c r="A4" s="395" t="s">
        <v>40</v>
      </c>
      <c r="B4" s="395"/>
      <c r="C4" s="395"/>
      <c r="D4" s="395"/>
      <c r="E4" s="395"/>
      <c r="F4" s="394"/>
      <c r="G4" s="394"/>
      <c r="H4" s="394"/>
      <c r="I4" s="394"/>
    </row>
    <row r="5" spans="1:9" s="4" customFormat="1" ht="15.75" x14ac:dyDescent="0.25">
      <c r="A5" s="400" t="s">
        <v>131</v>
      </c>
      <c r="B5" s="400"/>
      <c r="C5" s="400"/>
      <c r="D5" s="400"/>
      <c r="E5" s="400"/>
      <c r="F5" s="394"/>
      <c r="G5" s="394"/>
      <c r="H5" s="394"/>
      <c r="I5" s="394"/>
    </row>
    <row r="6" spans="1:9" s="7" customFormat="1" ht="15.75" x14ac:dyDescent="0.25">
      <c r="A6" s="68"/>
      <c r="B6" s="68"/>
      <c r="C6" s="68"/>
      <c r="D6" s="68"/>
      <c r="E6" s="68"/>
      <c r="F6" s="40"/>
      <c r="G6" s="69"/>
    </row>
    <row r="7" spans="1:9" s="4" customFormat="1" ht="57.6" customHeight="1" x14ac:dyDescent="0.25">
      <c r="A7" s="401" t="s">
        <v>132</v>
      </c>
      <c r="B7" s="401"/>
      <c r="C7" s="401"/>
      <c r="D7" s="401"/>
      <c r="E7" s="401"/>
      <c r="F7" s="351" t="s">
        <v>42</v>
      </c>
      <c r="G7" s="351" t="s">
        <v>42</v>
      </c>
      <c r="H7" s="349" t="s">
        <v>350</v>
      </c>
      <c r="I7" s="350" t="s">
        <v>351</v>
      </c>
    </row>
    <row r="8" spans="1:9" s="9" customFormat="1" ht="27" customHeight="1" x14ac:dyDescent="0.25">
      <c r="A8" s="401"/>
      <c r="B8" s="401"/>
      <c r="C8" s="401"/>
      <c r="D8" s="401"/>
      <c r="E8" s="401"/>
      <c r="F8" s="351" t="s">
        <v>4</v>
      </c>
      <c r="G8" s="351" t="s">
        <v>5</v>
      </c>
      <c r="H8" s="350" t="s">
        <v>353</v>
      </c>
      <c r="I8" s="350" t="s">
        <v>352</v>
      </c>
    </row>
    <row r="9" spans="1:9" s="4" customFormat="1" ht="18" customHeight="1" x14ac:dyDescent="0.25">
      <c r="A9" s="9" t="s">
        <v>7</v>
      </c>
      <c r="B9" s="9" t="s">
        <v>8</v>
      </c>
      <c r="C9" s="9"/>
      <c r="D9" s="9"/>
      <c r="E9" s="9"/>
      <c r="F9" s="70">
        <f>F10+F27</f>
        <v>44733135.399999999</v>
      </c>
      <c r="G9" s="70">
        <f>G10+G27</f>
        <v>58432744</v>
      </c>
      <c r="H9" s="70">
        <f>H10+H27</f>
        <v>57866456</v>
      </c>
      <c r="I9" s="352">
        <f>H9/G9</f>
        <v>0.99030872142509685</v>
      </c>
    </row>
    <row r="10" spans="1:9" s="4" customFormat="1" ht="15.75" x14ac:dyDescent="0.25">
      <c r="B10" s="4" t="s">
        <v>82</v>
      </c>
      <c r="D10" s="4" t="s">
        <v>83</v>
      </c>
      <c r="F10" s="71">
        <f>SUM(F11+F18+F25+F26)</f>
        <v>40340260</v>
      </c>
      <c r="G10" s="71">
        <f>SUM(G11+G18+G25+G26)</f>
        <v>53759426</v>
      </c>
      <c r="H10" s="71">
        <f>SUM(H11+H18+H25+H26)</f>
        <v>53759426</v>
      </c>
      <c r="I10" s="353">
        <f>H10/G10</f>
        <v>1</v>
      </c>
    </row>
    <row r="11" spans="1:9" s="9" customFormat="1" ht="15.75" x14ac:dyDescent="0.25">
      <c r="C11" s="4" t="s">
        <v>84</v>
      </c>
      <c r="D11" s="4" t="s">
        <v>85</v>
      </c>
      <c r="E11" s="4"/>
      <c r="F11" s="72">
        <f>SUM(F12:F17)</f>
        <v>12241260</v>
      </c>
      <c r="G11" s="72">
        <f>SUM(G12:G17)</f>
        <v>12827730</v>
      </c>
      <c r="H11" s="72">
        <f>SUM(H12:H17)</f>
        <v>12827730</v>
      </c>
      <c r="I11" s="353">
        <f t="shared" ref="I11:I55" si="0">H11/G11</f>
        <v>1</v>
      </c>
    </row>
    <row r="12" spans="1:9" s="9" customFormat="1" ht="15.75" x14ac:dyDescent="0.25">
      <c r="C12" s="4"/>
      <c r="D12" s="4"/>
      <c r="E12" s="4" t="s">
        <v>86</v>
      </c>
      <c r="F12" s="73">
        <f>'2.bevétel'!F47</f>
        <v>4064190</v>
      </c>
      <c r="G12" s="73">
        <f>'2.bevétel'!G47</f>
        <v>4064190</v>
      </c>
      <c r="H12" s="73">
        <f>'2.bevétel'!H47</f>
        <v>4064190</v>
      </c>
      <c r="I12" s="353">
        <f t="shared" si="0"/>
        <v>1</v>
      </c>
    </row>
    <row r="13" spans="1:9" s="9" customFormat="1" ht="15.75" x14ac:dyDescent="0.25">
      <c r="C13" s="4"/>
      <c r="D13" s="4"/>
      <c r="E13" s="4" t="s">
        <v>91</v>
      </c>
      <c r="F13" s="73">
        <f>'2.bevétel'!F52</f>
        <v>5000000</v>
      </c>
      <c r="G13" s="73">
        <f>'2.bevétel'!G52</f>
        <v>5000000</v>
      </c>
      <c r="H13" s="73">
        <f>'2.bevétel'!H52</f>
        <v>5000000</v>
      </c>
      <c r="I13" s="353">
        <f t="shared" si="0"/>
        <v>1</v>
      </c>
    </row>
    <row r="14" spans="1:9" s="9" customFormat="1" ht="15.75" x14ac:dyDescent="0.25">
      <c r="C14" s="4"/>
      <c r="D14" s="4"/>
      <c r="E14" s="4" t="s">
        <v>92</v>
      </c>
      <c r="F14" s="73">
        <f>'2.bevétel'!F53</f>
        <v>94350</v>
      </c>
      <c r="G14" s="73">
        <f>'2.bevétel'!G53</f>
        <v>94350</v>
      </c>
      <c r="H14" s="73">
        <f>'2.bevétel'!H53</f>
        <v>94350</v>
      </c>
      <c r="I14" s="353">
        <f t="shared" si="0"/>
        <v>1</v>
      </c>
    </row>
    <row r="15" spans="1:9" s="9" customFormat="1" ht="15.75" x14ac:dyDescent="0.25">
      <c r="C15" s="4"/>
      <c r="D15" s="4"/>
      <c r="E15" s="4" t="s">
        <v>93</v>
      </c>
      <c r="F15" s="73">
        <f>'2.bevétel'!F54</f>
        <v>198716</v>
      </c>
      <c r="G15" s="73">
        <f>'2.bevétel'!G54</f>
        <v>198716</v>
      </c>
      <c r="H15" s="73">
        <f>'2.bevétel'!H54</f>
        <v>198716</v>
      </c>
      <c r="I15" s="353">
        <f t="shared" si="0"/>
        <v>1</v>
      </c>
    </row>
    <row r="16" spans="1:9" s="9" customFormat="1" ht="15.75" x14ac:dyDescent="0.25">
      <c r="C16" s="4"/>
      <c r="D16" s="4"/>
      <c r="E16" s="4" t="s">
        <v>94</v>
      </c>
      <c r="F16" s="73">
        <f>'2.bevétel'!F55</f>
        <v>990400</v>
      </c>
      <c r="G16" s="73">
        <f>'2.bevétel'!G55</f>
        <v>990400</v>
      </c>
      <c r="H16" s="73">
        <f>'2.bevétel'!H55</f>
        <v>990400</v>
      </c>
      <c r="I16" s="353">
        <f t="shared" si="0"/>
        <v>1</v>
      </c>
    </row>
    <row r="17" spans="1:15" s="9" customFormat="1" ht="15.75" x14ac:dyDescent="0.25">
      <c r="C17" s="4"/>
      <c r="D17" s="4"/>
      <c r="E17" s="4" t="s">
        <v>95</v>
      </c>
      <c r="F17" s="73">
        <f>'2.bevétel'!F56</f>
        <v>1893604</v>
      </c>
      <c r="G17" s="73">
        <f>'2.bevétel'!G56</f>
        <v>2480074</v>
      </c>
      <c r="H17" s="73">
        <f>'2.bevétel'!H56</f>
        <v>2480074</v>
      </c>
      <c r="I17" s="353">
        <f t="shared" si="0"/>
        <v>1</v>
      </c>
    </row>
    <row r="18" spans="1:15" s="4" customFormat="1" ht="30.75" customHeight="1" x14ac:dyDescent="0.25">
      <c r="C18" s="4" t="s">
        <v>96</v>
      </c>
      <c r="D18" s="398" t="s">
        <v>97</v>
      </c>
      <c r="E18" s="398"/>
      <c r="F18" s="72">
        <f>SUM(F19+F20+F24+F23)</f>
        <v>26299000</v>
      </c>
      <c r="G18" s="72">
        <f>SUM(G19+G20+G24+G23)</f>
        <v>38263016</v>
      </c>
      <c r="H18" s="72">
        <f>SUM(H19+H20+H24+H23)</f>
        <v>38263016</v>
      </c>
      <c r="I18" s="353">
        <f t="shared" si="0"/>
        <v>1</v>
      </c>
    </row>
    <row r="19" spans="1:15" s="4" customFormat="1" ht="15" customHeight="1" x14ac:dyDescent="0.25">
      <c r="D19" s="49"/>
      <c r="E19" s="49" t="s">
        <v>98</v>
      </c>
      <c r="F19" s="74">
        <f>'2.bevétel'!F58</f>
        <v>3100000</v>
      </c>
      <c r="G19" s="74">
        <f>'2.bevétel'!G58</f>
        <v>4250000</v>
      </c>
      <c r="H19" s="74">
        <f>'2.bevétel'!H58</f>
        <v>4250000</v>
      </c>
      <c r="I19" s="353">
        <f t="shared" si="0"/>
        <v>1</v>
      </c>
    </row>
    <row r="20" spans="1:15" s="4" customFormat="1" ht="15" customHeight="1" x14ac:dyDescent="0.25">
      <c r="D20" s="49"/>
      <c r="E20" s="49" t="s">
        <v>99</v>
      </c>
      <c r="F20" s="74">
        <f>SUM(F21:F22)</f>
        <v>20327000</v>
      </c>
      <c r="G20" s="74">
        <f>SUM(G21:G22)</f>
        <v>27006000</v>
      </c>
      <c r="H20" s="74">
        <f>SUM(H21:H22)</f>
        <v>27006000</v>
      </c>
      <c r="I20" s="353">
        <f t="shared" si="0"/>
        <v>1</v>
      </c>
    </row>
    <row r="21" spans="1:15" s="4" customFormat="1" ht="15" customHeight="1" x14ac:dyDescent="0.25">
      <c r="D21" s="49"/>
      <c r="E21" s="49" t="s">
        <v>100</v>
      </c>
      <c r="F21" s="74">
        <f>'2.bevétel'!F60</f>
        <v>19936000</v>
      </c>
      <c r="G21" s="74">
        <f>'2.bevétel'!G60</f>
        <v>27006000</v>
      </c>
      <c r="H21" s="74">
        <f>'2.bevétel'!H60</f>
        <v>27006000</v>
      </c>
      <c r="I21" s="353">
        <f t="shared" si="0"/>
        <v>1</v>
      </c>
    </row>
    <row r="22" spans="1:15" s="4" customFormat="1" ht="15" customHeight="1" x14ac:dyDescent="0.25">
      <c r="D22" s="49"/>
      <c r="E22" s="49" t="s">
        <v>101</v>
      </c>
      <c r="F22" s="74">
        <f>'2.bevétel'!F61</f>
        <v>391000</v>
      </c>
      <c r="G22" s="74">
        <f>'2.bevétel'!G61</f>
        <v>0</v>
      </c>
      <c r="H22" s="74">
        <f>'2.bevétel'!H61</f>
        <v>0</v>
      </c>
      <c r="I22" s="353" t="s">
        <v>363</v>
      </c>
    </row>
    <row r="23" spans="1:15" s="4" customFormat="1" ht="15" customHeight="1" x14ac:dyDescent="0.25">
      <c r="D23" s="49"/>
      <c r="E23" s="49" t="s">
        <v>102</v>
      </c>
      <c r="F23" s="74">
        <v>0</v>
      </c>
      <c r="G23" s="74">
        <f>'2.bevétel'!G62</f>
        <v>4135016</v>
      </c>
      <c r="H23" s="74">
        <f>'2.bevétel'!H62</f>
        <v>4135016</v>
      </c>
      <c r="I23" s="353">
        <f t="shared" si="0"/>
        <v>1</v>
      </c>
    </row>
    <row r="24" spans="1:15" s="4" customFormat="1" ht="15" customHeight="1" x14ac:dyDescent="0.25">
      <c r="D24" s="49"/>
      <c r="E24" s="49" t="s">
        <v>103</v>
      </c>
      <c r="F24" s="74">
        <v>2872000</v>
      </c>
      <c r="G24" s="74">
        <v>2872000</v>
      </c>
      <c r="H24" s="74">
        <v>2872000</v>
      </c>
      <c r="I24" s="353">
        <f t="shared" si="0"/>
        <v>1</v>
      </c>
    </row>
    <row r="25" spans="1:15" s="4" customFormat="1" ht="15.75" x14ac:dyDescent="0.25">
      <c r="C25" s="4" t="s">
        <v>104</v>
      </c>
      <c r="D25" s="4" t="s">
        <v>105</v>
      </c>
      <c r="F25" s="72">
        <v>1800000</v>
      </c>
      <c r="G25" s="72">
        <v>1800000</v>
      </c>
      <c r="H25" s="72">
        <v>1800000</v>
      </c>
      <c r="I25" s="353">
        <f t="shared" si="0"/>
        <v>1</v>
      </c>
    </row>
    <row r="26" spans="1:15" s="4" customFormat="1" ht="15.75" x14ac:dyDescent="0.25">
      <c r="C26" s="4" t="s">
        <v>106</v>
      </c>
      <c r="D26" s="4" t="s">
        <v>107</v>
      </c>
      <c r="F26" s="72">
        <v>0</v>
      </c>
      <c r="G26" s="72">
        <f>'2.bevétel'!G65</f>
        <v>868680</v>
      </c>
      <c r="H26" s="72">
        <f>'2.bevétel'!H65</f>
        <v>868680</v>
      </c>
      <c r="I26" s="353">
        <f>H26/G26</f>
        <v>1</v>
      </c>
    </row>
    <row r="27" spans="1:15" s="4" customFormat="1" ht="15.75" x14ac:dyDescent="0.25">
      <c r="A27" s="13"/>
      <c r="B27" s="11" t="s">
        <v>108</v>
      </c>
      <c r="D27" s="4" t="s">
        <v>133</v>
      </c>
      <c r="E27" s="46"/>
      <c r="F27" s="72">
        <f>F28+F29</f>
        <v>4392875.4000000004</v>
      </c>
      <c r="G27" s="72">
        <f>G28+G29</f>
        <v>4673318</v>
      </c>
      <c r="H27" s="72">
        <f>H28+H29</f>
        <v>4107030</v>
      </c>
      <c r="I27" s="353">
        <f t="shared" si="0"/>
        <v>0.87882528002588312</v>
      </c>
      <c r="O27" s="47"/>
    </row>
    <row r="28" spans="1:15" s="4" customFormat="1" ht="15.75" x14ac:dyDescent="0.25">
      <c r="A28" s="13"/>
      <c r="E28" s="4" t="s">
        <v>110</v>
      </c>
      <c r="F28" s="73">
        <f>'2.bevétel'!F88</f>
        <v>4349875.4000000004</v>
      </c>
      <c r="G28" s="73">
        <f>'2.bevétel'!G88+'2.bevétel'!G90</f>
        <v>4630318</v>
      </c>
      <c r="H28" s="73">
        <f>'2.bevétel'!H88+'2.bevétel'!H90</f>
        <v>4107030</v>
      </c>
      <c r="I28" s="353">
        <f t="shared" si="0"/>
        <v>0.88698659573705307</v>
      </c>
      <c r="O28" s="47"/>
    </row>
    <row r="29" spans="1:15" s="4" customFormat="1" ht="15.75" x14ac:dyDescent="0.25">
      <c r="A29" s="13"/>
      <c r="E29" s="4" t="s">
        <v>129</v>
      </c>
      <c r="F29" s="73">
        <v>43000</v>
      </c>
      <c r="G29" s="73">
        <v>43000</v>
      </c>
      <c r="H29" s="73">
        <v>0</v>
      </c>
      <c r="I29" s="353" t="s">
        <v>363</v>
      </c>
      <c r="O29" s="47"/>
    </row>
    <row r="30" spans="1:15" s="9" customFormat="1" ht="15.75" x14ac:dyDescent="0.25">
      <c r="A30" s="9" t="s">
        <v>16</v>
      </c>
      <c r="B30" s="9" t="s">
        <v>17</v>
      </c>
      <c r="F30" s="75">
        <f>SUM(F31)</f>
        <v>0</v>
      </c>
      <c r="G30" s="75">
        <f>SUM(G31)</f>
        <v>11988125</v>
      </c>
      <c r="H30" s="75">
        <f>SUM(H31)</f>
        <v>11988125</v>
      </c>
      <c r="I30" s="353">
        <f t="shared" si="0"/>
        <v>1</v>
      </c>
    </row>
    <row r="31" spans="1:15" s="4" customFormat="1" ht="15.75" x14ac:dyDescent="0.25">
      <c r="B31" s="4" t="s">
        <v>123</v>
      </c>
      <c r="D31" s="4" t="s">
        <v>117</v>
      </c>
      <c r="F31" s="73">
        <v>0</v>
      </c>
      <c r="G31" s="73">
        <f>G32</f>
        <v>11988125</v>
      </c>
      <c r="H31" s="73">
        <f>H32</f>
        <v>11988125</v>
      </c>
      <c r="I31" s="353">
        <f t="shared" si="0"/>
        <v>1</v>
      </c>
    </row>
    <row r="32" spans="1:15" s="4" customFormat="1" ht="15.75" x14ac:dyDescent="0.25">
      <c r="C32" s="4" t="s">
        <v>118</v>
      </c>
      <c r="D32" s="4" t="s">
        <v>119</v>
      </c>
      <c r="F32" s="73"/>
      <c r="G32" s="73">
        <f>'2.bevétel'!G74</f>
        <v>11988125</v>
      </c>
      <c r="H32" s="73">
        <f>'2.bevétel'!H74</f>
        <v>11988125</v>
      </c>
      <c r="I32" s="353">
        <f t="shared" si="0"/>
        <v>1</v>
      </c>
    </row>
    <row r="33" spans="1:9" s="9" customFormat="1" ht="15.75" x14ac:dyDescent="0.25">
      <c r="A33" s="9" t="s">
        <v>9</v>
      </c>
      <c r="B33" s="9" t="s">
        <v>10</v>
      </c>
      <c r="F33" s="76">
        <f>SUM(F34+F37+F44)</f>
        <v>9150000</v>
      </c>
      <c r="G33" s="76">
        <f>SUM(G34+G37+G44)</f>
        <v>10675151</v>
      </c>
      <c r="H33" s="76">
        <f>SUM(H34+H37+H44)</f>
        <v>9849976</v>
      </c>
      <c r="I33" s="353">
        <f t="shared" si="0"/>
        <v>0.92270132759714596</v>
      </c>
    </row>
    <row r="34" spans="1:9" s="4" customFormat="1" ht="15.75" x14ac:dyDescent="0.25">
      <c r="B34" s="4" t="s">
        <v>62</v>
      </c>
      <c r="D34" s="4" t="s">
        <v>63</v>
      </c>
      <c r="F34" s="72">
        <f>SUM(F35:F36)</f>
        <v>3000000</v>
      </c>
      <c r="G34" s="72">
        <f>SUM(G35:G36)</f>
        <v>4374596</v>
      </c>
      <c r="H34" s="72">
        <f>SUM(H35:H36)</f>
        <v>4374596</v>
      </c>
      <c r="I34" s="353">
        <f t="shared" si="0"/>
        <v>1</v>
      </c>
    </row>
    <row r="35" spans="1:9" s="4" customFormat="1" ht="15.75" x14ac:dyDescent="0.25">
      <c r="E35" s="4" t="s">
        <v>64</v>
      </c>
      <c r="F35" s="77">
        <f>'2.bevétel'!F29</f>
        <v>1500000</v>
      </c>
      <c r="G35" s="77">
        <f>'2.bevétel'!G29</f>
        <v>2495997</v>
      </c>
      <c r="H35" s="77">
        <f>'2.bevétel'!H29</f>
        <v>2495997</v>
      </c>
      <c r="I35" s="353">
        <f t="shared" si="0"/>
        <v>1</v>
      </c>
    </row>
    <row r="36" spans="1:9" s="4" customFormat="1" ht="15.75" x14ac:dyDescent="0.25">
      <c r="A36" s="9"/>
      <c r="B36" s="9"/>
      <c r="C36" s="9"/>
      <c r="D36" s="9"/>
      <c r="E36" s="4" t="s">
        <v>65</v>
      </c>
      <c r="F36" s="77">
        <f>'2.bevétel'!F30</f>
        <v>1500000</v>
      </c>
      <c r="G36" s="77">
        <f>'2.bevétel'!G30</f>
        <v>1878599</v>
      </c>
      <c r="H36" s="77">
        <f>'2.bevétel'!H30</f>
        <v>1878599</v>
      </c>
      <c r="I36" s="353">
        <f t="shared" si="0"/>
        <v>1</v>
      </c>
    </row>
    <row r="37" spans="1:9" s="4" customFormat="1" ht="15.75" x14ac:dyDescent="0.25">
      <c r="A37" s="9"/>
      <c r="B37" s="4" t="s">
        <v>66</v>
      </c>
      <c r="D37" s="4" t="s">
        <v>67</v>
      </c>
      <c r="F37" s="71">
        <f>SUM(F38+F40+F42)</f>
        <v>6000000</v>
      </c>
      <c r="G37" s="71">
        <f>SUM(G38+G40+G42)</f>
        <v>6150555</v>
      </c>
      <c r="H37" s="71">
        <f>SUM(H38+H40+H42)</f>
        <v>5392811</v>
      </c>
      <c r="I37" s="353">
        <f t="shared" si="0"/>
        <v>0.87680071148050864</v>
      </c>
    </row>
    <row r="38" spans="1:9" s="4" customFormat="1" ht="15.75" x14ac:dyDescent="0.25">
      <c r="A38" s="9"/>
      <c r="C38" s="4" t="s">
        <v>68</v>
      </c>
      <c r="D38" s="4" t="s">
        <v>69</v>
      </c>
      <c r="F38" s="73">
        <f>SUM(F39)</f>
        <v>5000000</v>
      </c>
      <c r="G38" s="73">
        <f>SUM(G39)</f>
        <v>5000000</v>
      </c>
      <c r="H38" s="73">
        <f>SUM(H39)</f>
        <v>4242256</v>
      </c>
      <c r="I38" s="353">
        <f t="shared" si="0"/>
        <v>0.84845119999999996</v>
      </c>
    </row>
    <row r="39" spans="1:9" s="4" customFormat="1" ht="15.75" x14ac:dyDescent="0.25">
      <c r="A39" s="9"/>
      <c r="E39" s="4" t="s">
        <v>70</v>
      </c>
      <c r="F39" s="77">
        <f>'2.bevétel'!F33</f>
        <v>5000000</v>
      </c>
      <c r="G39" s="77">
        <f>'2.bevétel'!G33</f>
        <v>5000000</v>
      </c>
      <c r="H39" s="77">
        <f>'2.bevétel'!H33</f>
        <v>4242256</v>
      </c>
      <c r="I39" s="353">
        <f t="shared" si="0"/>
        <v>0.84845119999999996</v>
      </c>
    </row>
    <row r="40" spans="1:9" s="4" customFormat="1" ht="15.75" x14ac:dyDescent="0.25">
      <c r="A40" s="9"/>
      <c r="C40" s="4" t="s">
        <v>71</v>
      </c>
      <c r="D40" s="4" t="s">
        <v>72</v>
      </c>
      <c r="F40" s="73">
        <f>SUM(F41)</f>
        <v>750000</v>
      </c>
      <c r="G40" s="73">
        <f>SUM(G41)</f>
        <v>805955</v>
      </c>
      <c r="H40" s="73">
        <f>SUM(H41)</f>
        <v>805955</v>
      </c>
      <c r="I40" s="353">
        <f t="shared" si="0"/>
        <v>1</v>
      </c>
    </row>
    <row r="41" spans="1:9" s="4" customFormat="1" ht="15.75" x14ac:dyDescent="0.25">
      <c r="A41" s="9"/>
      <c r="E41" s="4" t="s">
        <v>73</v>
      </c>
      <c r="F41" s="77">
        <f>'2.bevétel'!F35</f>
        <v>750000</v>
      </c>
      <c r="G41" s="77">
        <f>'2.bevétel'!G35</f>
        <v>805955</v>
      </c>
      <c r="H41" s="77">
        <f>'2.bevétel'!H35</f>
        <v>805955</v>
      </c>
      <c r="I41" s="353">
        <f t="shared" si="0"/>
        <v>1</v>
      </c>
    </row>
    <row r="42" spans="1:9" s="4" customFormat="1" ht="15.75" x14ac:dyDescent="0.25">
      <c r="A42" s="9"/>
      <c r="C42" s="4" t="s">
        <v>74</v>
      </c>
      <c r="D42" s="4" t="s">
        <v>75</v>
      </c>
      <c r="F42" s="73">
        <f>SUM(F43:F43)</f>
        <v>250000</v>
      </c>
      <c r="G42" s="73">
        <f>SUM(G43:G43)</f>
        <v>344600</v>
      </c>
      <c r="H42" s="73">
        <f>SUM(H43:H43)</f>
        <v>344600</v>
      </c>
      <c r="I42" s="353">
        <f t="shared" si="0"/>
        <v>1</v>
      </c>
    </row>
    <row r="43" spans="1:9" s="4" customFormat="1" ht="15.75" x14ac:dyDescent="0.25">
      <c r="A43" s="9"/>
      <c r="E43" s="4" t="s">
        <v>76</v>
      </c>
      <c r="F43" s="77">
        <f>'2.bevétel'!F37</f>
        <v>250000</v>
      </c>
      <c r="G43" s="77">
        <f>'2.bevétel'!G37</f>
        <v>344600</v>
      </c>
      <c r="H43" s="77">
        <f>'2.bevétel'!H37</f>
        <v>344600</v>
      </c>
      <c r="I43" s="353">
        <f t="shared" si="0"/>
        <v>1</v>
      </c>
    </row>
    <row r="44" spans="1:9" s="4" customFormat="1" ht="15.75" x14ac:dyDescent="0.25">
      <c r="B44" s="4" t="s">
        <v>77</v>
      </c>
      <c r="D44" s="4" t="s">
        <v>78</v>
      </c>
      <c r="F44" s="71">
        <f>SUM(F45:F45)</f>
        <v>150000</v>
      </c>
      <c r="G44" s="71">
        <f>SUM(G45:G45)</f>
        <v>150000</v>
      </c>
      <c r="H44" s="71">
        <f>SUM(H45:H45)</f>
        <v>82569</v>
      </c>
      <c r="I44" s="353">
        <f t="shared" si="0"/>
        <v>0.55045999999999995</v>
      </c>
    </row>
    <row r="45" spans="1:9" s="4" customFormat="1" ht="15.75" x14ac:dyDescent="0.25">
      <c r="E45" s="4" t="s">
        <v>79</v>
      </c>
      <c r="F45" s="77">
        <f>'2.bevétel'!F39</f>
        <v>150000</v>
      </c>
      <c r="G45" s="77">
        <f>'2.bevétel'!G39</f>
        <v>150000</v>
      </c>
      <c r="H45" s="77">
        <f>'2.bevétel'!H39</f>
        <v>82569</v>
      </c>
      <c r="I45" s="353">
        <f t="shared" si="0"/>
        <v>0.55045999999999995</v>
      </c>
    </row>
    <row r="46" spans="1:9" s="9" customFormat="1" ht="15.75" x14ac:dyDescent="0.25">
      <c r="A46" s="9" t="s">
        <v>11</v>
      </c>
      <c r="B46" s="9" t="s">
        <v>12</v>
      </c>
      <c r="F46" s="76">
        <f>SUM(F47:F49)</f>
        <v>751000</v>
      </c>
      <c r="G46" s="76">
        <f>SUM(G47:G49)</f>
        <v>873699</v>
      </c>
      <c r="H46" s="76">
        <f>SUM(H47:H49)</f>
        <v>671673</v>
      </c>
      <c r="I46" s="353">
        <f t="shared" si="0"/>
        <v>0.76876933589256713</v>
      </c>
    </row>
    <row r="47" spans="1:9" s="4" customFormat="1" ht="15.75" x14ac:dyDescent="0.25">
      <c r="C47" s="4" t="s">
        <v>44</v>
      </c>
      <c r="D47" s="4" t="s">
        <v>45</v>
      </c>
      <c r="F47" s="73">
        <f>'2.bevétel'!F11+'2.bevétel'!F16+'2.bevétel'!F92+'2.bevétel'!F41</f>
        <v>700000</v>
      </c>
      <c r="G47" s="73">
        <f>'2.bevétel'!G11+'2.bevétel'!G16+'2.bevétel'!G42+'2.bevétel'!G93</f>
        <v>740200</v>
      </c>
      <c r="H47" s="73">
        <f>'2.bevétel'!H11+'2.bevétel'!H16+'2.bevétel'!H42+'2.bevétel'!H93</f>
        <v>590856</v>
      </c>
      <c r="I47" s="353">
        <f t="shared" si="0"/>
        <v>0.79823831396919753</v>
      </c>
    </row>
    <row r="48" spans="1:9" s="4" customFormat="1" ht="15.75" x14ac:dyDescent="0.25">
      <c r="C48" s="4" t="s">
        <v>48</v>
      </c>
      <c r="D48" s="4" t="s">
        <v>49</v>
      </c>
      <c r="F48" s="73">
        <f>'2.bevétel'!F17</f>
        <v>1000</v>
      </c>
      <c r="G48" s="73">
        <f>'2.bevétel'!G17+'2.bevétel'!G94</f>
        <v>1000</v>
      </c>
      <c r="H48" s="73">
        <f>'2.bevétel'!H17+'2.bevétel'!H94</f>
        <v>35</v>
      </c>
      <c r="I48" s="353">
        <f t="shared" si="0"/>
        <v>3.5000000000000003E-2</v>
      </c>
    </row>
    <row r="49" spans="1:12" s="4" customFormat="1" ht="15.75" x14ac:dyDescent="0.25">
      <c r="C49" s="4" t="s">
        <v>50</v>
      </c>
      <c r="D49" s="4" t="s">
        <v>134</v>
      </c>
      <c r="F49" s="73">
        <f>'2.bevétel'!F80</f>
        <v>50000</v>
      </c>
      <c r="G49" s="73">
        <f>'2.bevétel'!G18+'2.bevétel'!G80</f>
        <v>132499</v>
      </c>
      <c r="H49" s="73">
        <f>'2.bevétel'!H18+'2.bevétel'!H80</f>
        <v>80782</v>
      </c>
      <c r="I49" s="353">
        <f t="shared" si="0"/>
        <v>0.6096800730571551</v>
      </c>
    </row>
    <row r="50" spans="1:12" s="9" customFormat="1" ht="15.75" x14ac:dyDescent="0.25">
      <c r="A50" s="9" t="s">
        <v>13</v>
      </c>
      <c r="B50" s="9" t="s">
        <v>14</v>
      </c>
      <c r="F50" s="78">
        <f>SUM(F51)</f>
        <v>5000</v>
      </c>
      <c r="G50" s="78">
        <f>SUM(G51)</f>
        <v>105000</v>
      </c>
      <c r="H50" s="78">
        <f>SUM(H51)</f>
        <v>100000</v>
      </c>
      <c r="I50" s="353">
        <f t="shared" si="0"/>
        <v>0.95238095238095233</v>
      </c>
      <c r="J50" s="42"/>
      <c r="K50" s="42"/>
      <c r="L50" s="43"/>
    </row>
    <row r="51" spans="1:12" s="4" customFormat="1" ht="15.75" x14ac:dyDescent="0.25">
      <c r="B51" s="4" t="s">
        <v>52</v>
      </c>
      <c r="D51" s="4" t="s">
        <v>53</v>
      </c>
      <c r="F51" s="73">
        <v>5000</v>
      </c>
      <c r="G51" s="73">
        <f>'2.bevétel'!G85+'2.bevétel'!G20</f>
        <v>105000</v>
      </c>
      <c r="H51" s="73">
        <f>'2.bevétel'!H85+'2.bevétel'!H20</f>
        <v>100000</v>
      </c>
      <c r="I51" s="353">
        <f t="shared" si="0"/>
        <v>0.95238095238095233</v>
      </c>
      <c r="J51" s="40"/>
      <c r="K51" s="40"/>
      <c r="L51" s="31"/>
    </row>
    <row r="52" spans="1:12" s="9" customFormat="1" ht="15.75" x14ac:dyDescent="0.25">
      <c r="A52" s="9" t="s">
        <v>18</v>
      </c>
      <c r="B52" s="9" t="s">
        <v>19</v>
      </c>
      <c r="E52" s="13"/>
      <c r="F52" s="78">
        <f>SUM(F53)</f>
        <v>30639480</v>
      </c>
      <c r="G52" s="78">
        <f>SUM(G53)</f>
        <v>31166379</v>
      </c>
      <c r="H52" s="78">
        <f>SUM(H53)</f>
        <v>31166379</v>
      </c>
      <c r="I52" s="353">
        <f t="shared" si="0"/>
        <v>1</v>
      </c>
    </row>
    <row r="53" spans="1:12" s="4" customFormat="1" ht="15.75" x14ac:dyDescent="0.25">
      <c r="B53" s="4" t="s">
        <v>55</v>
      </c>
      <c r="D53" s="4" t="s">
        <v>56</v>
      </c>
      <c r="F53" s="71">
        <f>SUM(F54:F55)</f>
        <v>30639480</v>
      </c>
      <c r="G53" s="71">
        <f>SUM(G54:G55)</f>
        <v>31166379</v>
      </c>
      <c r="H53" s="71">
        <f>SUM(H54:H55)</f>
        <v>31166379</v>
      </c>
      <c r="I53" s="353">
        <f t="shared" si="0"/>
        <v>1</v>
      </c>
    </row>
    <row r="54" spans="1:12" s="4" customFormat="1" ht="15.75" x14ac:dyDescent="0.25">
      <c r="C54" s="4" t="s">
        <v>57</v>
      </c>
      <c r="E54" s="4" t="s">
        <v>60</v>
      </c>
      <c r="F54" s="77">
        <f>'2.bevétel'!F25</f>
        <v>27275676</v>
      </c>
      <c r="G54" s="77">
        <f>'2.bevétel'!G25</f>
        <v>27275676</v>
      </c>
      <c r="H54" s="77">
        <f>'2.bevétel'!H25</f>
        <v>27275676</v>
      </c>
      <c r="I54" s="353">
        <f t="shared" si="0"/>
        <v>1</v>
      </c>
    </row>
    <row r="55" spans="1:12" s="4" customFormat="1" ht="15.75" x14ac:dyDescent="0.25">
      <c r="C55" s="4" t="s">
        <v>113</v>
      </c>
      <c r="D55" s="4" t="s">
        <v>114</v>
      </c>
      <c r="E55" s="11"/>
      <c r="F55" s="79">
        <f>'2.bevétel'!F70</f>
        <v>3363804</v>
      </c>
      <c r="G55" s="79">
        <f>'2.bevétel'!G70</f>
        <v>3890703</v>
      </c>
      <c r="H55" s="79">
        <f>'2.bevétel'!H70</f>
        <v>3890703</v>
      </c>
      <c r="I55" s="353">
        <f t="shared" si="0"/>
        <v>1</v>
      </c>
    </row>
    <row r="56" spans="1:12" s="9" customFormat="1" ht="24.75" customHeight="1" x14ac:dyDescent="0.25">
      <c r="A56" s="65" t="s">
        <v>135</v>
      </c>
      <c r="B56" s="66"/>
      <c r="C56" s="66"/>
      <c r="D56" s="66"/>
      <c r="E56" s="66"/>
      <c r="F56" s="80">
        <f>F52+F50+F46+F33+F9+F30</f>
        <v>85278615.400000006</v>
      </c>
      <c r="G56" s="80">
        <f>G52+G50+G46+G33+G9+G30</f>
        <v>113241098</v>
      </c>
      <c r="H56" s="80">
        <f>H52+H50+H46+H33+H9+H30</f>
        <v>111642609</v>
      </c>
      <c r="I56" s="354">
        <f>H56/G56</f>
        <v>0.98588419727261922</v>
      </c>
    </row>
    <row r="57" spans="1:12" s="81" customFormat="1" x14ac:dyDescent="0.2">
      <c r="F57"/>
    </row>
    <row r="58" spans="1:12" s="81" customFormat="1" ht="17.25" customHeight="1" x14ac:dyDescent="0.2">
      <c r="F58" s="82"/>
    </row>
    <row r="59" spans="1:12" s="81" customFormat="1" x14ac:dyDescent="0.2">
      <c r="F59"/>
    </row>
    <row r="60" spans="1:12" s="81" customFormat="1" x14ac:dyDescent="0.2">
      <c r="F60"/>
    </row>
    <row r="61" spans="1:12" s="81" customFormat="1" x14ac:dyDescent="0.2">
      <c r="F61"/>
    </row>
    <row r="62" spans="1:12" s="81" customFormat="1" x14ac:dyDescent="0.2">
      <c r="F62"/>
    </row>
    <row r="63" spans="1:12" s="81" customFormat="1" x14ac:dyDescent="0.2">
      <c r="F63" s="83"/>
    </row>
    <row r="64" spans="1:12" s="81" customFormat="1" x14ac:dyDescent="0.2">
      <c r="F64"/>
    </row>
    <row r="65" spans="6:6" s="81" customFormat="1" x14ac:dyDescent="0.2">
      <c r="F65"/>
    </row>
    <row r="66" spans="6:6" s="81" customFormat="1" x14ac:dyDescent="0.2">
      <c r="F66"/>
    </row>
    <row r="67" spans="6:6" s="81" customFormat="1" x14ac:dyDescent="0.2">
      <c r="F67"/>
    </row>
  </sheetData>
  <sheetProtection selectLockedCells="1" selectUnlockedCells="1"/>
  <mergeCells count="7">
    <mergeCell ref="A1:I1"/>
    <mergeCell ref="A3:I3"/>
    <mergeCell ref="A4:I4"/>
    <mergeCell ref="A5:I5"/>
    <mergeCell ref="D18:E18"/>
    <mergeCell ref="A2:G2"/>
    <mergeCell ref="A7:E8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5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view="pageBreakPreview" zoomScale="120" zoomScaleNormal="120" zoomScaleSheetLayoutView="120" workbookViewId="0">
      <selection activeCell="B10" sqref="B10"/>
    </sheetView>
  </sheetViews>
  <sheetFormatPr defaultColWidth="9.140625" defaultRowHeight="12.75" x14ac:dyDescent="0.2"/>
  <cols>
    <col min="1" max="1" width="85.42578125" style="84" customWidth="1"/>
    <col min="2" max="2" width="14.5703125" style="84" customWidth="1"/>
    <col min="3" max="3" width="13.7109375" style="84" customWidth="1"/>
    <col min="4" max="4" width="15.5703125" style="84" customWidth="1"/>
    <col min="5" max="5" width="14.5703125" style="84" customWidth="1"/>
    <col min="6" max="16384" width="9.140625" style="84"/>
  </cols>
  <sheetData>
    <row r="1" spans="1:5" ht="15.75" x14ac:dyDescent="0.25">
      <c r="A1" s="402" t="s">
        <v>368</v>
      </c>
      <c r="B1" s="402"/>
      <c r="C1" s="402"/>
      <c r="D1" s="402"/>
      <c r="E1" s="402"/>
    </row>
    <row r="2" spans="1:5" s="85" customFormat="1" ht="15.75" x14ac:dyDescent="0.25">
      <c r="A2" s="402"/>
      <c r="B2" s="402"/>
      <c r="C2" s="402"/>
      <c r="D2" s="402"/>
      <c r="E2" s="402"/>
    </row>
    <row r="3" spans="1:5" s="85" customFormat="1" ht="24" customHeight="1" x14ac:dyDescent="0.25">
      <c r="A3" s="403" t="s">
        <v>0</v>
      </c>
      <c r="B3" s="403"/>
      <c r="C3" s="403"/>
      <c r="D3" s="403"/>
      <c r="E3" s="403"/>
    </row>
    <row r="4" spans="1:5" s="85" customFormat="1" ht="23.25" customHeight="1" x14ac:dyDescent="0.25">
      <c r="A4" s="403" t="s">
        <v>136</v>
      </c>
      <c r="B4" s="403"/>
      <c r="C4" s="403"/>
      <c r="D4" s="403"/>
      <c r="E4" s="403"/>
    </row>
    <row r="5" spans="1:5" s="87" customFormat="1" ht="14.25" customHeight="1" x14ac:dyDescent="0.25">
      <c r="A5" s="86"/>
      <c r="B5" s="86"/>
      <c r="C5" s="86"/>
      <c r="D5" s="86"/>
      <c r="E5" s="86"/>
    </row>
    <row r="6" spans="1:5" s="85" customFormat="1" ht="46.9" customHeight="1" x14ac:dyDescent="0.2">
      <c r="A6" s="88" t="s">
        <v>137</v>
      </c>
      <c r="B6" s="89" t="s">
        <v>138</v>
      </c>
      <c r="C6" s="89" t="s">
        <v>139</v>
      </c>
      <c r="D6" s="89" t="s">
        <v>140</v>
      </c>
      <c r="E6" s="89" t="s">
        <v>141</v>
      </c>
    </row>
    <row r="7" spans="1:5" s="85" customFormat="1" ht="15.75" x14ac:dyDescent="0.25">
      <c r="A7" s="355" t="s">
        <v>43</v>
      </c>
      <c r="B7" s="356">
        <f>'2.bevétel'!H9</f>
        <v>383156</v>
      </c>
      <c r="C7" s="357">
        <v>0</v>
      </c>
      <c r="D7" s="357">
        <v>0</v>
      </c>
      <c r="E7" s="285">
        <f t="shared" ref="E7:E19" si="0">SUM(B7:D7)</f>
        <v>383156</v>
      </c>
    </row>
    <row r="8" spans="1:5" s="85" customFormat="1" ht="15.75" x14ac:dyDescent="0.25">
      <c r="A8" s="358" t="s">
        <v>142</v>
      </c>
      <c r="B8" s="286">
        <f>'2.bevétel'!H14</f>
        <v>47763</v>
      </c>
      <c r="C8" s="286">
        <v>0</v>
      </c>
      <c r="D8" s="286">
        <v>0</v>
      </c>
      <c r="E8" s="286">
        <f t="shared" si="0"/>
        <v>47763</v>
      </c>
    </row>
    <row r="9" spans="1:5" s="85" customFormat="1" ht="15.75" x14ac:dyDescent="0.25">
      <c r="A9" s="359" t="s">
        <v>54</v>
      </c>
      <c r="B9" s="286">
        <f>'2.bevétel'!H21+'11.Idősek Otthona bevétel'!H28-'11.Idősek Otthona bevétel'!H33</f>
        <v>27987739</v>
      </c>
      <c r="C9" s="286">
        <v>0</v>
      </c>
      <c r="D9" s="286">
        <v>0</v>
      </c>
      <c r="E9" s="286">
        <f t="shared" si="0"/>
        <v>27987739</v>
      </c>
    </row>
    <row r="10" spans="1:5" s="85" customFormat="1" ht="15.75" x14ac:dyDescent="0.25">
      <c r="A10" s="359" t="s">
        <v>61</v>
      </c>
      <c r="B10" s="286">
        <f>'2.bevétel'!H26</f>
        <v>9849976</v>
      </c>
      <c r="C10" s="286">
        <v>0</v>
      </c>
      <c r="D10" s="286">
        <v>0</v>
      </c>
      <c r="E10" s="286">
        <f t="shared" si="0"/>
        <v>9849976</v>
      </c>
    </row>
    <row r="11" spans="1:5" s="85" customFormat="1" ht="15.75" x14ac:dyDescent="0.25">
      <c r="A11" s="359" t="s">
        <v>80</v>
      </c>
      <c r="B11" s="286">
        <f>'2.bevétel'!H40</f>
        <v>90200</v>
      </c>
      <c r="C11" s="286">
        <v>0</v>
      </c>
      <c r="D11" s="286">
        <v>0</v>
      </c>
      <c r="E11" s="286">
        <f t="shared" si="0"/>
        <v>90200</v>
      </c>
    </row>
    <row r="12" spans="1:5" s="85" customFormat="1" ht="15.75" x14ac:dyDescent="0.25">
      <c r="A12" s="358" t="s">
        <v>143</v>
      </c>
      <c r="B12" s="286">
        <f>'2.bevétel'!H77</f>
        <v>175045</v>
      </c>
      <c r="C12" s="286">
        <v>0</v>
      </c>
      <c r="D12" s="286">
        <v>0</v>
      </c>
      <c r="E12" s="286">
        <f t="shared" si="0"/>
        <v>175045</v>
      </c>
    </row>
    <row r="13" spans="1:5" s="85" customFormat="1" ht="15.75" x14ac:dyDescent="0.25">
      <c r="A13" s="359" t="s">
        <v>81</v>
      </c>
      <c r="B13" s="286">
        <f>'2.bevétel'!H43</f>
        <v>53759426</v>
      </c>
      <c r="C13" s="286">
        <v>0</v>
      </c>
      <c r="D13" s="286">
        <v>0</v>
      </c>
      <c r="E13" s="286">
        <f t="shared" si="0"/>
        <v>53759426</v>
      </c>
    </row>
    <row r="14" spans="1:5" s="85" customFormat="1" ht="15.75" x14ac:dyDescent="0.25">
      <c r="A14" s="359" t="s">
        <v>111</v>
      </c>
      <c r="B14" s="286">
        <f>'2.bevétel'!H68</f>
        <v>3890703</v>
      </c>
      <c r="C14" s="286">
        <v>0</v>
      </c>
      <c r="D14" s="286">
        <v>0</v>
      </c>
      <c r="E14" s="286">
        <f t="shared" si="0"/>
        <v>3890703</v>
      </c>
    </row>
    <row r="15" spans="1:5" s="85" customFormat="1" ht="15.75" x14ac:dyDescent="0.25">
      <c r="A15" s="359" t="s">
        <v>126</v>
      </c>
      <c r="B15" s="286">
        <f>'2.bevétel'!H86+'11.Idősek Otthona bevétel'!H25</f>
        <v>4961506</v>
      </c>
      <c r="C15" s="286">
        <v>0</v>
      </c>
      <c r="D15" s="286">
        <v>0</v>
      </c>
      <c r="E15" s="286">
        <f t="shared" si="0"/>
        <v>4961506</v>
      </c>
    </row>
    <row r="16" spans="1:5" s="85" customFormat="1" ht="15.75" x14ac:dyDescent="0.25">
      <c r="A16" s="359" t="s">
        <v>144</v>
      </c>
      <c r="B16" s="286">
        <v>0</v>
      </c>
      <c r="C16" s="286">
        <f>'11.Idősek Otthona bevétel'!H9</f>
        <v>25653442</v>
      </c>
      <c r="D16" s="286">
        <v>0</v>
      </c>
      <c r="E16" s="286">
        <f t="shared" si="0"/>
        <v>25653442</v>
      </c>
    </row>
    <row r="17" spans="1:5" s="93" customFormat="1" ht="15.75" x14ac:dyDescent="0.25">
      <c r="A17" s="360" t="s">
        <v>127</v>
      </c>
      <c r="B17" s="361"/>
      <c r="C17" s="361">
        <f>'2.bevétel'!H89</f>
        <v>355952</v>
      </c>
      <c r="D17" s="362">
        <v>0</v>
      </c>
      <c r="E17" s="286">
        <f t="shared" si="0"/>
        <v>355952</v>
      </c>
    </row>
    <row r="18" spans="1:5" s="93" customFormat="1" ht="15.75" x14ac:dyDescent="0.25">
      <c r="A18" s="360" t="s">
        <v>115</v>
      </c>
      <c r="B18" s="361">
        <f>'2.bevétel'!H71</f>
        <v>11988125</v>
      </c>
      <c r="C18" s="361"/>
      <c r="D18" s="362"/>
      <c r="E18" s="286">
        <f t="shared" si="0"/>
        <v>11988125</v>
      </c>
    </row>
    <row r="19" spans="1:5" s="93" customFormat="1" ht="15.75" x14ac:dyDescent="0.25">
      <c r="A19" s="363" t="s">
        <v>128</v>
      </c>
      <c r="B19" s="364">
        <f>'2.bevétel'!H95</f>
        <v>0</v>
      </c>
      <c r="C19" s="364"/>
      <c r="D19" s="365"/>
      <c r="E19" s="366">
        <f t="shared" si="0"/>
        <v>0</v>
      </c>
    </row>
    <row r="20" spans="1:5" s="85" customFormat="1" ht="19.899999999999999" customHeight="1" x14ac:dyDescent="0.25">
      <c r="A20" s="94" t="s">
        <v>145</v>
      </c>
      <c r="B20" s="95">
        <f>SUM(B7:B19)</f>
        <v>113133639</v>
      </c>
      <c r="C20" s="95">
        <f>SUM(C7:C19)</f>
        <v>26009394</v>
      </c>
      <c r="D20" s="95">
        <f>SUM(D8:D15)</f>
        <v>0</v>
      </c>
      <c r="E20" s="95">
        <f>SUM(E7:E19)</f>
        <v>139143033</v>
      </c>
    </row>
    <row r="21" spans="1:5" s="85" customFormat="1" x14ac:dyDescent="0.2"/>
    <row r="22" spans="1:5" s="85" customFormat="1" x14ac:dyDescent="0.2"/>
    <row r="23" spans="1:5" s="85" customFormat="1" x14ac:dyDescent="0.2">
      <c r="C23" s="96"/>
    </row>
  </sheetData>
  <sheetProtection selectLockedCells="1" selectUnlockedCells="1"/>
  <mergeCells count="4">
    <mergeCell ref="A1:E1"/>
    <mergeCell ref="A2:E2"/>
    <mergeCell ref="A3:E3"/>
    <mergeCell ref="A4:E4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87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2"/>
  <sheetViews>
    <sheetView view="pageBreakPreview" zoomScaleNormal="110" zoomScaleSheetLayoutView="100" workbookViewId="0">
      <selection activeCell="I6" sqref="I6"/>
    </sheetView>
  </sheetViews>
  <sheetFormatPr defaultColWidth="9.140625" defaultRowHeight="15.75" x14ac:dyDescent="0.25"/>
  <cols>
    <col min="1" max="1" width="4.140625" style="4" customWidth="1"/>
    <col min="2" max="2" width="4.85546875" style="11" customWidth="1"/>
    <col min="3" max="3" width="9" style="11" customWidth="1"/>
    <col min="4" max="5" width="2.140625" style="11" customWidth="1"/>
    <col min="6" max="6" width="61.42578125" style="11" customWidth="1"/>
    <col min="7" max="7" width="9.140625" style="11" customWidth="1"/>
    <col min="8" max="8" width="16.140625" style="11" customWidth="1"/>
    <col min="9" max="9" width="16.28515625" style="11" customWidth="1"/>
    <col min="10" max="10" width="14.28515625" style="11" customWidth="1"/>
    <col min="11" max="11" width="13.85546875" style="4" customWidth="1"/>
    <col min="12" max="12" width="9.85546875" style="4" bestFit="1" customWidth="1"/>
    <col min="13" max="16384" width="9.140625" style="4"/>
  </cols>
  <sheetData>
    <row r="1" spans="1:11" x14ac:dyDescent="0.25">
      <c r="A1" s="392" t="s">
        <v>370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x14ac:dyDescent="0.25">
      <c r="A2" s="399"/>
      <c r="B2" s="399"/>
      <c r="C2" s="399"/>
      <c r="D2" s="399"/>
      <c r="E2" s="399"/>
      <c r="F2" s="399"/>
      <c r="G2" s="399"/>
      <c r="H2" s="399"/>
      <c r="I2" s="399"/>
      <c r="J2" s="4"/>
    </row>
    <row r="3" spans="1:11" s="27" customFormat="1" ht="16.149999999999999" customHeight="1" x14ac:dyDescent="0.25">
      <c r="A3" s="28"/>
      <c r="B3" s="28"/>
      <c r="C3" s="28"/>
      <c r="D3" s="28"/>
      <c r="E3" s="28"/>
      <c r="F3" s="28"/>
      <c r="G3" s="28"/>
      <c r="H3" s="97"/>
      <c r="I3" s="98"/>
      <c r="J3" s="98"/>
    </row>
    <row r="4" spans="1:11" ht="21.75" customHeight="1" x14ac:dyDescent="0.25">
      <c r="A4" s="395" t="s">
        <v>0</v>
      </c>
      <c r="B4" s="395"/>
      <c r="C4" s="395"/>
      <c r="D4" s="395"/>
      <c r="E4" s="395"/>
      <c r="F4" s="395"/>
      <c r="G4" s="395"/>
      <c r="H4" s="394"/>
      <c r="I4" s="394"/>
      <c r="J4" s="394"/>
      <c r="K4" s="394"/>
    </row>
    <row r="5" spans="1:11" ht="21.75" customHeight="1" x14ac:dyDescent="0.25">
      <c r="A5" s="395" t="s">
        <v>146</v>
      </c>
      <c r="B5" s="395"/>
      <c r="C5" s="395"/>
      <c r="D5" s="395"/>
      <c r="E5" s="395"/>
      <c r="F5" s="395"/>
      <c r="G5" s="395"/>
      <c r="H5" s="394"/>
      <c r="I5" s="394"/>
      <c r="J5" s="394"/>
      <c r="K5" s="394"/>
    </row>
    <row r="6" spans="1:11" ht="18.75" customHeight="1" x14ac:dyDescent="0.25">
      <c r="A6" s="400" t="s">
        <v>147</v>
      </c>
      <c r="B6" s="400"/>
      <c r="C6" s="400"/>
      <c r="D6" s="400"/>
      <c r="E6" s="400"/>
      <c r="F6" s="400"/>
      <c r="G6" s="400"/>
      <c r="H6" s="40"/>
      <c r="I6" s="40"/>
      <c r="J6" s="40"/>
    </row>
    <row r="7" spans="1:11" s="7" customFormat="1" ht="18.75" customHeight="1" x14ac:dyDescent="0.25">
      <c r="A7" s="68"/>
      <c r="B7" s="68"/>
      <c r="C7" s="68"/>
      <c r="D7" s="68"/>
      <c r="E7" s="68"/>
      <c r="F7" s="68"/>
      <c r="G7" s="68"/>
      <c r="H7" s="40"/>
      <c r="I7" s="40"/>
      <c r="J7" s="40"/>
      <c r="K7" s="4"/>
    </row>
    <row r="8" spans="1:11" ht="60" customHeight="1" x14ac:dyDescent="0.25">
      <c r="A8" s="396" t="s">
        <v>41</v>
      </c>
      <c r="B8" s="396"/>
      <c r="C8" s="396"/>
      <c r="D8" s="396"/>
      <c r="E8" s="396"/>
      <c r="F8" s="396"/>
      <c r="G8" s="396" t="s">
        <v>148</v>
      </c>
      <c r="H8" s="33" t="s">
        <v>42</v>
      </c>
      <c r="I8" s="33" t="s">
        <v>42</v>
      </c>
      <c r="J8" s="241" t="s">
        <v>350</v>
      </c>
      <c r="K8" s="242" t="s">
        <v>351</v>
      </c>
    </row>
    <row r="9" spans="1:11" s="9" customFormat="1" ht="40.15" customHeight="1" x14ac:dyDescent="0.25">
      <c r="A9" s="396"/>
      <c r="B9" s="396"/>
      <c r="C9" s="396"/>
      <c r="D9" s="396"/>
      <c r="E9" s="396"/>
      <c r="F9" s="396"/>
      <c r="G9" s="396"/>
      <c r="H9" s="33" t="s">
        <v>4</v>
      </c>
      <c r="I9" s="33" t="s">
        <v>5</v>
      </c>
      <c r="J9" s="242" t="s">
        <v>353</v>
      </c>
      <c r="K9" s="242" t="s">
        <v>352</v>
      </c>
    </row>
    <row r="10" spans="1:11" ht="32.25" customHeight="1" x14ac:dyDescent="0.25">
      <c r="A10" s="404" t="s">
        <v>47</v>
      </c>
      <c r="B10" s="404"/>
      <c r="C10" s="404"/>
      <c r="D10" s="404"/>
      <c r="E10" s="404"/>
      <c r="F10" s="404"/>
      <c r="G10" s="100" t="s">
        <v>149</v>
      </c>
      <c r="H10" s="101">
        <f>SUM(H11+H20+H22+H41)</f>
        <v>29028779.079999998</v>
      </c>
      <c r="I10" s="101">
        <f>SUM(I11+I20+I22+I41)</f>
        <v>27791771</v>
      </c>
      <c r="J10" s="101">
        <f>SUM(J11+J20+J22+J41)</f>
        <v>9944570</v>
      </c>
      <c r="K10" s="266">
        <f>J10/I10</f>
        <v>0.35782426388012478</v>
      </c>
    </row>
    <row r="11" spans="1:11" s="9" customFormat="1" x14ac:dyDescent="0.25">
      <c r="A11" s="9" t="s">
        <v>22</v>
      </c>
      <c r="B11" s="13" t="s">
        <v>150</v>
      </c>
      <c r="C11" s="13"/>
      <c r="D11" s="13"/>
      <c r="E11" s="13"/>
      <c r="F11" s="102"/>
      <c r="G11" s="102"/>
      <c r="H11" s="103">
        <f>SUM(H12+H17)</f>
        <v>6756144</v>
      </c>
      <c r="I11" s="103">
        <f>SUM(I12+I17)</f>
        <v>7908864</v>
      </c>
      <c r="J11" s="103">
        <f>SUM(J12+J17)</f>
        <v>6843335</v>
      </c>
      <c r="K11" s="281">
        <f>J11/I11</f>
        <v>0.86527407728847028</v>
      </c>
    </row>
    <row r="12" spans="1:11" x14ac:dyDescent="0.25">
      <c r="B12" s="11" t="s">
        <v>151</v>
      </c>
      <c r="D12" s="11" t="s">
        <v>152</v>
      </c>
      <c r="F12" s="104"/>
      <c r="G12" s="104"/>
      <c r="H12" s="105">
        <f>SUM(H13:H16)</f>
        <v>2424000</v>
      </c>
      <c r="I12" s="105">
        <f>SUM(I13:I16)</f>
        <v>3549189</v>
      </c>
      <c r="J12" s="105">
        <f>SUM(J13:J16)</f>
        <v>2483660</v>
      </c>
      <c r="K12" s="281">
        <f t="shared" ref="K12:K48" si="0">J12/I12</f>
        <v>0.69978240099357913</v>
      </c>
    </row>
    <row r="13" spans="1:11" x14ac:dyDescent="0.25">
      <c r="C13" s="11" t="s">
        <v>153</v>
      </c>
      <c r="D13" s="11" t="s">
        <v>154</v>
      </c>
      <c r="F13" s="104"/>
      <c r="G13" s="104"/>
      <c r="H13" s="106">
        <v>2388000</v>
      </c>
      <c r="I13" s="106">
        <v>3388000</v>
      </c>
      <c r="J13" s="106">
        <v>2373991</v>
      </c>
      <c r="K13" s="281">
        <f t="shared" si="0"/>
        <v>0.7007057260920897</v>
      </c>
    </row>
    <row r="14" spans="1:11" x14ac:dyDescent="0.25">
      <c r="C14" s="11" t="s">
        <v>155</v>
      </c>
      <c r="D14" s="11" t="s">
        <v>156</v>
      </c>
      <c r="F14" s="104"/>
      <c r="G14" s="104"/>
      <c r="H14" s="106">
        <v>0</v>
      </c>
      <c r="I14" s="106">
        <v>75189</v>
      </c>
      <c r="J14" s="106">
        <v>75189</v>
      </c>
      <c r="K14" s="281">
        <f t="shared" si="0"/>
        <v>1</v>
      </c>
    </row>
    <row r="15" spans="1:11" x14ac:dyDescent="0.25">
      <c r="C15" s="11" t="s">
        <v>157</v>
      </c>
      <c r="D15" s="11" t="s">
        <v>158</v>
      </c>
      <c r="F15" s="104"/>
      <c r="G15" s="104"/>
      <c r="H15" s="106">
        <v>0</v>
      </c>
      <c r="I15" s="106">
        <v>50000</v>
      </c>
      <c r="J15" s="106">
        <v>7280</v>
      </c>
      <c r="K15" s="281">
        <f t="shared" si="0"/>
        <v>0.14560000000000001</v>
      </c>
    </row>
    <row r="16" spans="1:11" x14ac:dyDescent="0.25">
      <c r="C16" s="11" t="s">
        <v>159</v>
      </c>
      <c r="D16" s="11" t="s">
        <v>160</v>
      </c>
      <c r="F16" s="104"/>
      <c r="G16" s="104"/>
      <c r="H16" s="106">
        <v>36000</v>
      </c>
      <c r="I16" s="106">
        <v>36000</v>
      </c>
      <c r="J16" s="106">
        <v>27200</v>
      </c>
      <c r="K16" s="281">
        <f t="shared" si="0"/>
        <v>0.75555555555555554</v>
      </c>
    </row>
    <row r="17" spans="1:12" x14ac:dyDescent="0.25">
      <c r="B17" s="11" t="s">
        <v>161</v>
      </c>
      <c r="D17" s="11" t="s">
        <v>162</v>
      </c>
      <c r="F17" s="104"/>
      <c r="G17" s="104"/>
      <c r="H17" s="105">
        <f>SUM(H18:H19)</f>
        <v>4332144</v>
      </c>
      <c r="I17" s="105">
        <v>4359675</v>
      </c>
      <c r="J17" s="105">
        <v>4359675</v>
      </c>
      <c r="K17" s="281">
        <f t="shared" si="0"/>
        <v>1</v>
      </c>
    </row>
    <row r="18" spans="1:12" x14ac:dyDescent="0.25">
      <c r="C18" s="11" t="s">
        <v>163</v>
      </c>
      <c r="D18" s="11" t="s">
        <v>164</v>
      </c>
      <c r="F18" s="104"/>
      <c r="G18" s="104"/>
      <c r="H18" s="106">
        <f>1794912+269232</f>
        <v>2064144</v>
      </c>
      <c r="I18" s="106"/>
      <c r="J18" s="106"/>
      <c r="K18" s="281" t="s">
        <v>363</v>
      </c>
    </row>
    <row r="19" spans="1:12" x14ac:dyDescent="0.25">
      <c r="C19" s="11" t="s">
        <v>163</v>
      </c>
      <c r="D19" s="11" t="s">
        <v>165</v>
      </c>
      <c r="F19" s="104"/>
      <c r="G19" s="104"/>
      <c r="H19" s="106">
        <f>2160000+108000</f>
        <v>2268000</v>
      </c>
      <c r="I19" s="106"/>
      <c r="J19" s="106"/>
      <c r="K19" s="281" t="s">
        <v>363</v>
      </c>
    </row>
    <row r="20" spans="1:12" s="9" customFormat="1" ht="15.75" customHeight="1" x14ac:dyDescent="0.25">
      <c r="A20" s="9" t="s">
        <v>24</v>
      </c>
      <c r="B20" s="9" t="s">
        <v>166</v>
      </c>
      <c r="F20" s="107"/>
      <c r="G20" s="108"/>
      <c r="H20" s="103">
        <f>SUM(H21)</f>
        <v>1317448.08</v>
      </c>
      <c r="I20" s="103">
        <f>SUM(I21)</f>
        <v>1330606</v>
      </c>
      <c r="J20" s="103">
        <f>SUM(J21)</f>
        <v>1247625</v>
      </c>
      <c r="K20" s="246">
        <f t="shared" si="0"/>
        <v>0.93763668584088755</v>
      </c>
    </row>
    <row r="21" spans="1:12" x14ac:dyDescent="0.25">
      <c r="D21" s="11" t="s">
        <v>167</v>
      </c>
      <c r="F21" s="104"/>
      <c r="G21" s="104"/>
      <c r="H21" s="106">
        <f>(H12+H17)*0.195</f>
        <v>1317448.08</v>
      </c>
      <c r="I21" s="106">
        <v>1330606</v>
      </c>
      <c r="J21" s="106">
        <v>1247625</v>
      </c>
      <c r="K21" s="281">
        <f t="shared" si="0"/>
        <v>0.93763668584088755</v>
      </c>
      <c r="L21" s="4" t="s">
        <v>112</v>
      </c>
    </row>
    <row r="22" spans="1:12" s="9" customFormat="1" x14ac:dyDescent="0.25">
      <c r="A22" s="9" t="s">
        <v>26</v>
      </c>
      <c r="B22" s="9" t="s">
        <v>27</v>
      </c>
      <c r="F22" s="107"/>
      <c r="G22" s="102"/>
      <c r="H22" s="103">
        <f>SUM(H23+H27+H30+H35+H37)</f>
        <v>2785000</v>
      </c>
      <c r="I22" s="103">
        <f>SUM(I23+I27+I30+I35+I37)</f>
        <v>2934879</v>
      </c>
      <c r="J22" s="103">
        <f>SUM(J23+J27+J30+J35+J37)</f>
        <v>1777710</v>
      </c>
      <c r="K22" s="246">
        <f t="shared" si="0"/>
        <v>0.6057183277402578</v>
      </c>
    </row>
    <row r="23" spans="1:12" x14ac:dyDescent="0.25">
      <c r="B23" s="11" t="s">
        <v>168</v>
      </c>
      <c r="D23" s="11" t="s">
        <v>169</v>
      </c>
      <c r="F23" s="109"/>
      <c r="G23" s="109"/>
      <c r="H23" s="105">
        <f>SUM(H24+H26)</f>
        <v>340000</v>
      </c>
      <c r="I23" s="105">
        <f>SUM(I24+I26)</f>
        <v>370000</v>
      </c>
      <c r="J23" s="105">
        <f>SUM(J24+J26)</f>
        <v>212013</v>
      </c>
      <c r="K23" s="281">
        <f t="shared" si="0"/>
        <v>0.57300810810810809</v>
      </c>
    </row>
    <row r="24" spans="1:12" x14ac:dyDescent="0.25">
      <c r="C24" s="11" t="s">
        <v>170</v>
      </c>
      <c r="D24" s="11" t="s">
        <v>171</v>
      </c>
      <c r="F24" s="109"/>
      <c r="G24" s="109"/>
      <c r="H24" s="106">
        <f>SUM(H25)</f>
        <v>20000</v>
      </c>
      <c r="I24" s="106">
        <f>SUM(I25)</f>
        <v>50000</v>
      </c>
      <c r="J24" s="106">
        <f>SUM(J25)</f>
        <v>50000</v>
      </c>
      <c r="K24" s="281">
        <f t="shared" si="0"/>
        <v>1</v>
      </c>
    </row>
    <row r="25" spans="1:12" x14ac:dyDescent="0.25">
      <c r="F25" s="109" t="s">
        <v>172</v>
      </c>
      <c r="G25" s="109"/>
      <c r="H25" s="106">
        <v>20000</v>
      </c>
      <c r="I25" s="106">
        <v>50000</v>
      </c>
      <c r="J25" s="106">
        <v>50000</v>
      </c>
      <c r="K25" s="281">
        <f t="shared" si="0"/>
        <v>1</v>
      </c>
    </row>
    <row r="26" spans="1:12" x14ac:dyDescent="0.25">
      <c r="C26" s="11" t="s">
        <v>173</v>
      </c>
      <c r="D26" s="11" t="s">
        <v>174</v>
      </c>
      <c r="F26" s="104"/>
      <c r="G26" s="104"/>
      <c r="H26" s="106">
        <v>320000</v>
      </c>
      <c r="I26" s="106">
        <v>320000</v>
      </c>
      <c r="J26" s="106">
        <v>162013</v>
      </c>
      <c r="K26" s="281">
        <f t="shared" si="0"/>
        <v>0.50629062499999999</v>
      </c>
    </row>
    <row r="27" spans="1:12" x14ac:dyDescent="0.25">
      <c r="B27" s="11" t="s">
        <v>175</v>
      </c>
      <c r="D27" s="11" t="s">
        <v>176</v>
      </c>
      <c r="F27" s="104"/>
      <c r="G27" s="104"/>
      <c r="H27" s="105">
        <f>SUM(H28+H29)</f>
        <v>390000</v>
      </c>
      <c r="I27" s="105">
        <f>SUM(I28+I29)</f>
        <v>510000</v>
      </c>
      <c r="J27" s="105">
        <f>SUM(J28+J29)</f>
        <v>409000</v>
      </c>
      <c r="K27" s="281">
        <f t="shared" si="0"/>
        <v>0.80196078431372553</v>
      </c>
    </row>
    <row r="28" spans="1:12" x14ac:dyDescent="0.25">
      <c r="C28" s="11" t="s">
        <v>177</v>
      </c>
      <c r="D28" s="11" t="s">
        <v>178</v>
      </c>
      <c r="F28" s="104"/>
      <c r="G28" s="104"/>
      <c r="H28" s="106">
        <v>330000</v>
      </c>
      <c r="I28" s="106">
        <v>360000</v>
      </c>
      <c r="J28" s="106">
        <v>328537</v>
      </c>
      <c r="K28" s="281">
        <f t="shared" si="0"/>
        <v>0.91260277777777776</v>
      </c>
    </row>
    <row r="29" spans="1:12" x14ac:dyDescent="0.25">
      <c r="C29" s="11" t="s">
        <v>179</v>
      </c>
      <c r="D29" s="11" t="s">
        <v>180</v>
      </c>
      <c r="F29" s="104"/>
      <c r="G29" s="104"/>
      <c r="H29" s="106">
        <v>60000</v>
      </c>
      <c r="I29" s="106">
        <v>150000</v>
      </c>
      <c r="J29" s="106">
        <v>80463</v>
      </c>
      <c r="K29" s="281">
        <f t="shared" si="0"/>
        <v>0.53642000000000001</v>
      </c>
    </row>
    <row r="30" spans="1:12" x14ac:dyDescent="0.25">
      <c r="B30" s="11" t="s">
        <v>181</v>
      </c>
      <c r="D30" s="11" t="s">
        <v>182</v>
      </c>
      <c r="F30" s="104"/>
      <c r="G30" s="104"/>
      <c r="H30" s="105">
        <f>SUM(H31+H32+H33)</f>
        <v>1770000</v>
      </c>
      <c r="I30" s="105">
        <f>SUM(I31+I32+I33)</f>
        <v>1728279</v>
      </c>
      <c r="J30" s="105">
        <f>SUM(J31+J32+J33)</f>
        <v>906603</v>
      </c>
      <c r="K30" s="281">
        <f t="shared" si="0"/>
        <v>0.52456981772040279</v>
      </c>
    </row>
    <row r="31" spans="1:12" x14ac:dyDescent="0.25">
      <c r="C31" s="11" t="s">
        <v>183</v>
      </c>
      <c r="D31" s="11" t="s">
        <v>184</v>
      </c>
      <c r="F31" s="104"/>
      <c r="G31" s="104"/>
      <c r="H31" s="106">
        <v>270000</v>
      </c>
      <c r="I31" s="106">
        <v>470000</v>
      </c>
      <c r="J31" s="106">
        <v>363605</v>
      </c>
      <c r="K31" s="281">
        <f t="shared" si="0"/>
        <v>0.77362765957446811</v>
      </c>
    </row>
    <row r="32" spans="1:12" x14ac:dyDescent="0.25">
      <c r="C32" s="11" t="s">
        <v>185</v>
      </c>
      <c r="D32" s="11" t="s">
        <v>186</v>
      </c>
      <c r="F32" s="104"/>
      <c r="G32" s="104"/>
      <c r="H32" s="106">
        <v>1000000</v>
      </c>
      <c r="I32" s="106">
        <v>758279</v>
      </c>
      <c r="J32" s="106">
        <v>26000</v>
      </c>
      <c r="K32" s="281">
        <f t="shared" si="0"/>
        <v>3.4288170976645799E-2</v>
      </c>
    </row>
    <row r="33" spans="1:11" x14ac:dyDescent="0.25">
      <c r="C33" s="11" t="s">
        <v>187</v>
      </c>
      <c r="D33" s="11" t="s">
        <v>188</v>
      </c>
      <c r="F33" s="104"/>
      <c r="G33" s="104"/>
      <c r="H33" s="106">
        <v>500000</v>
      </c>
      <c r="I33" s="106">
        <v>500000</v>
      </c>
      <c r="J33" s="106">
        <f>510883+J34</f>
        <v>516998</v>
      </c>
      <c r="K33" s="281">
        <f t="shared" si="0"/>
        <v>1.0339959999999999</v>
      </c>
    </row>
    <row r="34" spans="1:11" x14ac:dyDescent="0.25">
      <c r="F34" s="104" t="s">
        <v>189</v>
      </c>
      <c r="G34" s="104"/>
      <c r="H34" s="110">
        <v>130000</v>
      </c>
      <c r="I34" s="110">
        <v>130000</v>
      </c>
      <c r="J34" s="110">
        <v>6115</v>
      </c>
      <c r="K34" s="281">
        <f t="shared" si="0"/>
        <v>4.7038461538461536E-2</v>
      </c>
    </row>
    <row r="35" spans="1:11" x14ac:dyDescent="0.25">
      <c r="B35" s="11" t="s">
        <v>190</v>
      </c>
      <c r="D35" s="11" t="s">
        <v>191</v>
      </c>
      <c r="E35" s="104"/>
      <c r="F35" s="104"/>
      <c r="G35" s="71"/>
      <c r="H35" s="111">
        <v>25000</v>
      </c>
      <c r="I35" s="111">
        <f>I36</f>
        <v>64600</v>
      </c>
      <c r="J35" s="111">
        <f>J36</f>
        <v>64600</v>
      </c>
      <c r="K35" s="281">
        <f t="shared" si="0"/>
        <v>1</v>
      </c>
    </row>
    <row r="36" spans="1:11" x14ac:dyDescent="0.25">
      <c r="C36" s="11" t="s">
        <v>192</v>
      </c>
      <c r="D36" s="11" t="s">
        <v>193</v>
      </c>
      <c r="E36" s="104"/>
      <c r="F36" s="104"/>
      <c r="G36" s="73"/>
      <c r="H36" s="112">
        <v>25000</v>
      </c>
      <c r="I36" s="112">
        <v>64600</v>
      </c>
      <c r="J36" s="112">
        <v>64600</v>
      </c>
      <c r="K36" s="281">
        <f t="shared" si="0"/>
        <v>1</v>
      </c>
    </row>
    <row r="37" spans="1:11" x14ac:dyDescent="0.25">
      <c r="B37" s="11" t="s">
        <v>194</v>
      </c>
      <c r="D37" s="11" t="s">
        <v>195</v>
      </c>
      <c r="F37" s="104"/>
      <c r="G37" s="104"/>
      <c r="H37" s="72">
        <f>SUM(H38:H40)</f>
        <v>260000</v>
      </c>
      <c r="I37" s="72">
        <f>SUM(I38:I40)</f>
        <v>262000</v>
      </c>
      <c r="J37" s="72">
        <f>SUM(J38:J40)</f>
        <v>185494</v>
      </c>
      <c r="K37" s="281">
        <f t="shared" si="0"/>
        <v>0.70799236641221375</v>
      </c>
    </row>
    <row r="38" spans="1:11" x14ac:dyDescent="0.25">
      <c r="C38" s="11" t="s">
        <v>196</v>
      </c>
      <c r="D38" s="11" t="s">
        <v>197</v>
      </c>
      <c r="F38" s="104"/>
      <c r="G38" s="104"/>
      <c r="H38" s="106">
        <v>250000</v>
      </c>
      <c r="I38" s="106">
        <v>250000</v>
      </c>
      <c r="J38" s="106">
        <v>178780</v>
      </c>
      <c r="K38" s="281">
        <f t="shared" si="0"/>
        <v>0.71511999999999998</v>
      </c>
    </row>
    <row r="39" spans="1:11" x14ac:dyDescent="0.25">
      <c r="C39" s="11" t="s">
        <v>198</v>
      </c>
      <c r="D39" s="11" t="s">
        <v>199</v>
      </c>
      <c r="F39" s="104"/>
      <c r="G39" s="104"/>
      <c r="H39" s="106">
        <v>0</v>
      </c>
      <c r="I39" s="106">
        <v>2000</v>
      </c>
      <c r="J39" s="106">
        <v>218</v>
      </c>
      <c r="K39" s="281">
        <f t="shared" si="0"/>
        <v>0.109</v>
      </c>
    </row>
    <row r="40" spans="1:11" x14ac:dyDescent="0.25">
      <c r="C40" s="11" t="s">
        <v>200</v>
      </c>
      <c r="D40" s="11" t="s">
        <v>201</v>
      </c>
      <c r="F40" s="104"/>
      <c r="G40" s="104"/>
      <c r="H40" s="106">
        <v>10000</v>
      </c>
      <c r="I40" s="106">
        <v>10000</v>
      </c>
      <c r="J40" s="106">
        <v>6496</v>
      </c>
      <c r="K40" s="281">
        <f t="shared" si="0"/>
        <v>0.64959999999999996</v>
      </c>
    </row>
    <row r="41" spans="1:11" s="9" customFormat="1" x14ac:dyDescent="0.25">
      <c r="A41" s="9" t="s">
        <v>30</v>
      </c>
      <c r="B41" s="9" t="s">
        <v>31</v>
      </c>
      <c r="F41" s="107"/>
      <c r="G41" s="102"/>
      <c r="H41" s="103">
        <f>SUM(H42+H48+H47)</f>
        <v>18170187</v>
      </c>
      <c r="I41" s="103">
        <f>SUM(I42+I48+I47)</f>
        <v>15617422</v>
      </c>
      <c r="J41" s="103">
        <f>SUM(J42+J48+J47)</f>
        <v>75900</v>
      </c>
      <c r="K41" s="246">
        <f t="shared" si="0"/>
        <v>4.859957040284882E-3</v>
      </c>
    </row>
    <row r="42" spans="1:11" x14ac:dyDescent="0.25">
      <c r="C42" s="11" t="s">
        <v>202</v>
      </c>
      <c r="D42" s="11" t="s">
        <v>203</v>
      </c>
      <c r="F42" s="104"/>
      <c r="G42" s="104"/>
      <c r="H42" s="105">
        <f>SUM(H43:H46)</f>
        <v>4367655</v>
      </c>
      <c r="I42" s="105">
        <f>SUM(I43:I46)</f>
        <v>0</v>
      </c>
      <c r="J42" s="105">
        <f>SUM(J43:J46)</f>
        <v>0</v>
      </c>
      <c r="K42" s="281" t="s">
        <v>363</v>
      </c>
    </row>
    <row r="43" spans="1:11" x14ac:dyDescent="0.25">
      <c r="F43" s="104" t="s">
        <v>204</v>
      </c>
      <c r="G43" s="113"/>
      <c r="H43" s="106">
        <v>66232</v>
      </c>
      <c r="I43" s="106">
        <v>0</v>
      </c>
      <c r="J43" s="106">
        <v>0</v>
      </c>
      <c r="K43" s="281" t="s">
        <v>363</v>
      </c>
    </row>
    <row r="44" spans="1:11" x14ac:dyDescent="0.25">
      <c r="F44" s="104" t="s">
        <v>205</v>
      </c>
      <c r="G44" s="104"/>
      <c r="H44" s="106">
        <f>36947+25717</f>
        <v>62664</v>
      </c>
      <c r="I44" s="106">
        <v>0</v>
      </c>
      <c r="J44" s="106">
        <v>0</v>
      </c>
      <c r="K44" s="281" t="s">
        <v>363</v>
      </c>
    </row>
    <row r="45" spans="1:11" ht="31.5" x14ac:dyDescent="0.25">
      <c r="F45" s="114" t="s">
        <v>206</v>
      </c>
      <c r="G45" s="114"/>
      <c r="H45" s="115">
        <v>4094072</v>
      </c>
      <c r="I45" s="115">
        <v>0</v>
      </c>
      <c r="J45" s="115">
        <v>0</v>
      </c>
      <c r="K45" s="281" t="s">
        <v>363</v>
      </c>
    </row>
    <row r="46" spans="1:11" x14ac:dyDescent="0.25">
      <c r="F46" s="114" t="s">
        <v>207</v>
      </c>
      <c r="G46" s="114"/>
      <c r="H46" s="115">
        <v>144687</v>
      </c>
      <c r="I46" s="115">
        <v>0</v>
      </c>
      <c r="J46" s="115">
        <v>0</v>
      </c>
      <c r="K46" s="281" t="s">
        <v>363</v>
      </c>
    </row>
    <row r="47" spans="1:11" x14ac:dyDescent="0.25">
      <c r="C47" s="11" t="s">
        <v>208</v>
      </c>
      <c r="D47" s="11" t="s">
        <v>209</v>
      </c>
      <c r="F47" s="104"/>
      <c r="G47" s="113"/>
      <c r="H47" s="106">
        <v>150000</v>
      </c>
      <c r="I47" s="106">
        <v>150000</v>
      </c>
      <c r="J47" s="106">
        <v>75900</v>
      </c>
      <c r="K47" s="281">
        <f t="shared" si="0"/>
        <v>0.50600000000000001</v>
      </c>
    </row>
    <row r="48" spans="1:11" x14ac:dyDescent="0.25">
      <c r="C48" s="11" t="s">
        <v>210</v>
      </c>
      <c r="D48" s="11" t="s">
        <v>211</v>
      </c>
      <c r="F48" s="104"/>
      <c r="G48" s="104"/>
      <c r="H48" s="116">
        <v>13652532</v>
      </c>
      <c r="I48" s="390">
        <v>15467422</v>
      </c>
      <c r="J48" s="390">
        <v>0</v>
      </c>
      <c r="K48" s="281">
        <f t="shared" si="0"/>
        <v>0</v>
      </c>
    </row>
    <row r="49" spans="1:12" s="9" customFormat="1" ht="33" customHeight="1" x14ac:dyDescent="0.25">
      <c r="A49" s="44" t="s">
        <v>111</v>
      </c>
      <c r="B49" s="34"/>
      <c r="C49" s="34"/>
      <c r="D49" s="34"/>
      <c r="E49" s="34"/>
      <c r="F49" s="117"/>
      <c r="G49" s="117"/>
      <c r="H49" s="118">
        <f>SUM(H50)</f>
        <v>3363804</v>
      </c>
      <c r="I49" s="118">
        <f>SUM(I50)</f>
        <v>3593096</v>
      </c>
      <c r="J49" s="118">
        <f>SUM(J50)</f>
        <v>3593096</v>
      </c>
      <c r="K49" s="247">
        <f>J49/I49</f>
        <v>1</v>
      </c>
    </row>
    <row r="50" spans="1:12" s="9" customFormat="1" x14ac:dyDescent="0.25">
      <c r="A50" s="9" t="s">
        <v>37</v>
      </c>
      <c r="B50" s="13" t="s">
        <v>38</v>
      </c>
      <c r="C50" s="13"/>
      <c r="D50" s="13"/>
      <c r="E50" s="13"/>
      <c r="F50" s="102"/>
      <c r="G50" s="102"/>
      <c r="H50" s="103">
        <f>SUM(H51)</f>
        <v>3363804</v>
      </c>
      <c r="I50" s="103">
        <f>I51</f>
        <v>3593096</v>
      </c>
      <c r="J50" s="103">
        <f>SUM(J51)</f>
        <v>3593096</v>
      </c>
      <c r="K50" s="246">
        <f>J50/I50</f>
        <v>1</v>
      </c>
    </row>
    <row r="51" spans="1:12" x14ac:dyDescent="0.25">
      <c r="C51" s="11" t="s">
        <v>212</v>
      </c>
      <c r="D51" s="11" t="s">
        <v>213</v>
      </c>
      <c r="F51" s="104"/>
      <c r="G51" s="104"/>
      <c r="H51" s="106">
        <v>3363804</v>
      </c>
      <c r="I51" s="106">
        <v>3593096</v>
      </c>
      <c r="J51" s="106">
        <v>3593096</v>
      </c>
      <c r="K51" s="281">
        <f>J51/I51</f>
        <v>1</v>
      </c>
    </row>
    <row r="52" spans="1:12" ht="32.25" customHeight="1" x14ac:dyDescent="0.25">
      <c r="A52" s="405" t="s">
        <v>54</v>
      </c>
      <c r="B52" s="405"/>
      <c r="C52" s="405"/>
      <c r="D52" s="405"/>
      <c r="E52" s="405"/>
      <c r="F52" s="405"/>
      <c r="G52" s="119"/>
      <c r="H52" s="118">
        <f>H53+H56</f>
        <v>25161134</v>
      </c>
      <c r="I52" s="118">
        <f>I53+I56</f>
        <v>38649499</v>
      </c>
      <c r="J52" s="118">
        <f>J53+J56</f>
        <v>38649499</v>
      </c>
      <c r="K52" s="247">
        <f>J52/I52</f>
        <v>1</v>
      </c>
    </row>
    <row r="53" spans="1:12" s="9" customFormat="1" x14ac:dyDescent="0.25">
      <c r="A53" s="9" t="s">
        <v>37</v>
      </c>
      <c r="B53" s="9" t="s">
        <v>38</v>
      </c>
      <c r="F53" s="107"/>
      <c r="G53" s="102"/>
      <c r="H53" s="103">
        <f>H54</f>
        <v>23690804</v>
      </c>
      <c r="I53" s="103">
        <f>I54</f>
        <v>32037483</v>
      </c>
      <c r="J53" s="103">
        <f>J54</f>
        <v>32037483</v>
      </c>
      <c r="K53" s="246">
        <f>J53/I53</f>
        <v>1</v>
      </c>
    </row>
    <row r="54" spans="1:12" x14ac:dyDescent="0.25">
      <c r="B54" s="11" t="s">
        <v>214</v>
      </c>
      <c r="C54" s="11" t="s">
        <v>215</v>
      </c>
      <c r="F54" s="104"/>
      <c r="G54" s="104"/>
      <c r="H54" s="106">
        <f>SUM(H55)</f>
        <v>23690804</v>
      </c>
      <c r="I54" s="106">
        <f>SUM(I55)</f>
        <v>32037483</v>
      </c>
      <c r="J54" s="106">
        <f>SUM(J55)</f>
        <v>32037483</v>
      </c>
      <c r="K54" s="281">
        <f t="shared" ref="K54:K63" si="1">J54/I54</f>
        <v>1</v>
      </c>
    </row>
    <row r="55" spans="1:12" x14ac:dyDescent="0.25">
      <c r="C55" s="11" t="s">
        <v>216</v>
      </c>
      <c r="D55" s="11" t="s">
        <v>217</v>
      </c>
      <c r="F55" s="104"/>
      <c r="G55" s="104"/>
      <c r="H55" s="106">
        <f>'11.Idősek Otthona bevétel'!F24</f>
        <v>23690804</v>
      </c>
      <c r="I55" s="106">
        <v>32037483</v>
      </c>
      <c r="J55" s="106">
        <v>32037483</v>
      </c>
      <c r="K55" s="281">
        <f t="shared" si="1"/>
        <v>1</v>
      </c>
    </row>
    <row r="56" spans="1:12" x14ac:dyDescent="0.25">
      <c r="A56" s="9" t="s">
        <v>30</v>
      </c>
      <c r="B56" s="9" t="s">
        <v>31</v>
      </c>
      <c r="C56" s="9"/>
      <c r="D56" s="9"/>
      <c r="E56" s="9"/>
      <c r="F56" s="107"/>
      <c r="G56" s="104"/>
      <c r="H56" s="103">
        <f>H57</f>
        <v>1470330</v>
      </c>
      <c r="I56" s="105">
        <f>I57</f>
        <v>6612016</v>
      </c>
      <c r="J56" s="105">
        <f>J57</f>
        <v>6612016</v>
      </c>
      <c r="K56" s="281">
        <f t="shared" si="1"/>
        <v>1</v>
      </c>
    </row>
    <row r="57" spans="1:12" x14ac:dyDescent="0.25">
      <c r="C57" s="11" t="s">
        <v>202</v>
      </c>
      <c r="D57" s="11" t="s">
        <v>203</v>
      </c>
      <c r="F57" s="104"/>
      <c r="G57" s="104"/>
      <c r="H57" s="106">
        <f>SUM(H58:H64)</f>
        <v>1470330</v>
      </c>
      <c r="I57" s="106">
        <f>SUM(I58:I64)</f>
        <v>6612016</v>
      </c>
      <c r="J57" s="106">
        <f>SUM(J58:J64)</f>
        <v>6612016</v>
      </c>
      <c r="K57" s="281">
        <f t="shared" si="1"/>
        <v>1</v>
      </c>
    </row>
    <row r="58" spans="1:12" ht="31.5" customHeight="1" x14ac:dyDescent="0.25">
      <c r="F58" s="114" t="s">
        <v>206</v>
      </c>
      <c r="G58" s="114"/>
      <c r="H58" s="115">
        <v>0</v>
      </c>
      <c r="I58" s="115">
        <v>4094072</v>
      </c>
      <c r="J58" s="115">
        <v>4094072</v>
      </c>
      <c r="K58" s="281">
        <f t="shared" si="1"/>
        <v>1</v>
      </c>
      <c r="L58" s="3"/>
    </row>
    <row r="59" spans="1:12" ht="16.149999999999999" customHeight="1" x14ac:dyDescent="0.25">
      <c r="F59" s="114" t="s">
        <v>207</v>
      </c>
      <c r="G59" s="114"/>
      <c r="H59" s="115">
        <v>0</v>
      </c>
      <c r="I59" s="115">
        <v>144687</v>
      </c>
      <c r="J59" s="115">
        <v>144687</v>
      </c>
      <c r="K59" s="281">
        <f t="shared" si="1"/>
        <v>1</v>
      </c>
    </row>
    <row r="60" spans="1:12" x14ac:dyDescent="0.25">
      <c r="F60" s="104" t="s">
        <v>218</v>
      </c>
      <c r="G60" s="104"/>
      <c r="H60" s="106">
        <v>1143172</v>
      </c>
      <c r="I60" s="106">
        <v>1334547</v>
      </c>
      <c r="J60" s="106">
        <v>1334547</v>
      </c>
      <c r="K60" s="281">
        <f t="shared" si="1"/>
        <v>1</v>
      </c>
    </row>
    <row r="61" spans="1:12" x14ac:dyDescent="0.25">
      <c r="F61" s="104" t="s">
        <v>219</v>
      </c>
      <c r="G61" s="104"/>
      <c r="H61" s="106">
        <v>327158</v>
      </c>
      <c r="I61" s="106">
        <v>327158</v>
      </c>
      <c r="J61" s="106">
        <v>327158</v>
      </c>
      <c r="K61" s="281">
        <f t="shared" si="1"/>
        <v>1</v>
      </c>
    </row>
    <row r="62" spans="1:12" x14ac:dyDescent="0.25">
      <c r="F62" s="104" t="s">
        <v>220</v>
      </c>
      <c r="G62" s="104"/>
      <c r="H62" s="106">
        <v>0</v>
      </c>
      <c r="I62" s="106">
        <v>25716</v>
      </c>
      <c r="J62" s="106">
        <v>25716</v>
      </c>
      <c r="K62" s="281">
        <f t="shared" si="1"/>
        <v>1</v>
      </c>
    </row>
    <row r="63" spans="1:12" x14ac:dyDescent="0.25">
      <c r="F63" s="104" t="s">
        <v>221</v>
      </c>
      <c r="G63" s="104"/>
      <c r="H63" s="106">
        <v>0</v>
      </c>
      <c r="I63" s="106">
        <v>648236</v>
      </c>
      <c r="J63" s="106">
        <v>648236</v>
      </c>
      <c r="K63" s="281">
        <f t="shared" si="1"/>
        <v>1</v>
      </c>
    </row>
    <row r="64" spans="1:12" x14ac:dyDescent="0.25">
      <c r="F64" s="104" t="s">
        <v>360</v>
      </c>
      <c r="G64" s="104"/>
      <c r="H64" s="106">
        <v>0</v>
      </c>
      <c r="I64" s="106">
        <v>37600</v>
      </c>
      <c r="J64" s="106">
        <v>37600</v>
      </c>
      <c r="K64" s="281">
        <f>J64/I64</f>
        <v>1</v>
      </c>
    </row>
    <row r="65" spans="1:11" ht="32.25" customHeight="1" x14ac:dyDescent="0.25">
      <c r="A65" s="405" t="s">
        <v>122</v>
      </c>
      <c r="B65" s="405"/>
      <c r="C65" s="405"/>
      <c r="D65" s="405"/>
      <c r="E65" s="405"/>
      <c r="F65" s="405"/>
      <c r="G65" s="100"/>
      <c r="H65" s="118">
        <f>SUM(H71+H87+H66+H69+H83)</f>
        <v>5243000</v>
      </c>
      <c r="I65" s="118">
        <f>SUM(I71+I87+I66+I69+I83)</f>
        <v>7443000</v>
      </c>
      <c r="J65" s="118">
        <f>SUM(J71+J87+J66+J69+J83)</f>
        <v>5166881</v>
      </c>
      <c r="K65" s="247">
        <f>J65/I65</f>
        <v>0.69419333602042188</v>
      </c>
    </row>
    <row r="66" spans="1:11" s="9" customFormat="1" x14ac:dyDescent="0.25">
      <c r="A66" s="9" t="s">
        <v>22</v>
      </c>
      <c r="B66" s="13" t="s">
        <v>150</v>
      </c>
      <c r="C66" s="13"/>
      <c r="D66" s="13"/>
      <c r="E66" s="13"/>
      <c r="F66" s="102"/>
      <c r="G66" s="102"/>
      <c r="H66" s="103">
        <f t="shared" ref="H66:J67" si="2">SUM(H67)</f>
        <v>343000</v>
      </c>
      <c r="I66" s="103">
        <f t="shared" si="2"/>
        <v>368000</v>
      </c>
      <c r="J66" s="103">
        <f t="shared" si="2"/>
        <v>50000</v>
      </c>
      <c r="K66" s="246">
        <f>J66/I66</f>
        <v>0.1358695652173913</v>
      </c>
    </row>
    <row r="67" spans="1:11" x14ac:dyDescent="0.25">
      <c r="B67" s="11" t="s">
        <v>161</v>
      </c>
      <c r="D67" s="11" t="s">
        <v>162</v>
      </c>
      <c r="F67" s="104"/>
      <c r="G67" s="104"/>
      <c r="H67" s="105">
        <f t="shared" si="2"/>
        <v>343000</v>
      </c>
      <c r="I67" s="105">
        <f t="shared" si="2"/>
        <v>368000</v>
      </c>
      <c r="J67" s="105">
        <f t="shared" si="2"/>
        <v>50000</v>
      </c>
      <c r="K67" s="281">
        <f t="shared" ref="K67:K89" si="3">J67/I67</f>
        <v>0.1358695652173913</v>
      </c>
    </row>
    <row r="68" spans="1:11" x14ac:dyDescent="0.25">
      <c r="C68" s="11" t="s">
        <v>222</v>
      </c>
      <c r="D68" s="11" t="s">
        <v>223</v>
      </c>
      <c r="F68" s="104"/>
      <c r="G68" s="104"/>
      <c r="H68" s="106">
        <f>6860*50</f>
        <v>343000</v>
      </c>
      <c r="I68" s="106">
        <v>368000</v>
      </c>
      <c r="J68" s="106">
        <v>50000</v>
      </c>
      <c r="K68" s="281">
        <f t="shared" si="3"/>
        <v>0.1358695652173913</v>
      </c>
    </row>
    <row r="69" spans="1:11" s="9" customFormat="1" ht="15.75" customHeight="1" x14ac:dyDescent="0.25">
      <c r="A69" s="9" t="s">
        <v>24</v>
      </c>
      <c r="B69" s="9" t="s">
        <v>166</v>
      </c>
      <c r="F69" s="107"/>
      <c r="G69" s="108"/>
      <c r="H69" s="103">
        <f>SUM(H70)</f>
        <v>50000</v>
      </c>
      <c r="I69" s="103">
        <f>SUM(I70)</f>
        <v>50000</v>
      </c>
      <c r="J69" s="103">
        <f>SUM(J70)</f>
        <v>13590</v>
      </c>
      <c r="K69" s="246">
        <f t="shared" si="3"/>
        <v>0.27179999999999999</v>
      </c>
    </row>
    <row r="70" spans="1:11" x14ac:dyDescent="0.25">
      <c r="D70" s="11" t="s">
        <v>361</v>
      </c>
      <c r="F70" s="104"/>
      <c r="G70" s="104"/>
      <c r="H70" s="106">
        <f>1000*50</f>
        <v>50000</v>
      </c>
      <c r="I70" s="106">
        <f>1000*50</f>
        <v>50000</v>
      </c>
      <c r="J70" s="106">
        <f>9165+4425</f>
        <v>13590</v>
      </c>
      <c r="K70" s="281">
        <f t="shared" si="3"/>
        <v>0.27179999999999999</v>
      </c>
    </row>
    <row r="71" spans="1:11" s="9" customFormat="1" x14ac:dyDescent="0.25">
      <c r="A71" s="9" t="s">
        <v>26</v>
      </c>
      <c r="B71" s="9" t="s">
        <v>27</v>
      </c>
      <c r="F71" s="107"/>
      <c r="G71" s="102"/>
      <c r="H71" s="10">
        <f>SUM(H72+H74+H80)</f>
        <v>2350000</v>
      </c>
      <c r="I71" s="10">
        <f>SUM(I72+I74+I80)</f>
        <v>2350000</v>
      </c>
      <c r="J71" s="10">
        <f>SUM(J72+J74+J80)</f>
        <v>1678291</v>
      </c>
      <c r="K71" s="246">
        <f t="shared" si="3"/>
        <v>0.71416638297872337</v>
      </c>
    </row>
    <row r="72" spans="1:11" x14ac:dyDescent="0.25">
      <c r="A72" s="4" t="s">
        <v>112</v>
      </c>
      <c r="B72" s="11" t="s">
        <v>168</v>
      </c>
      <c r="D72" s="11" t="s">
        <v>169</v>
      </c>
      <c r="F72" s="109"/>
      <c r="G72" s="109"/>
      <c r="H72" s="12">
        <f>SUM(H73)</f>
        <v>700000</v>
      </c>
      <c r="I72" s="12">
        <f>SUM(I73)</f>
        <v>700000</v>
      </c>
      <c r="J72" s="12">
        <f>SUM(J73)</f>
        <v>356164</v>
      </c>
      <c r="K72" s="281">
        <f t="shared" si="3"/>
        <v>0.50880571428571431</v>
      </c>
    </row>
    <row r="73" spans="1:11" x14ac:dyDescent="0.25">
      <c r="C73" s="11" t="s">
        <v>173</v>
      </c>
      <c r="D73" s="11" t="s">
        <v>174</v>
      </c>
      <c r="F73" s="104"/>
      <c r="G73" s="104"/>
      <c r="H73" s="106">
        <v>700000</v>
      </c>
      <c r="I73" s="106">
        <v>700000</v>
      </c>
      <c r="J73" s="106">
        <v>356164</v>
      </c>
      <c r="K73" s="281">
        <f t="shared" si="3"/>
        <v>0.50880571428571431</v>
      </c>
    </row>
    <row r="74" spans="1:11" x14ac:dyDescent="0.25">
      <c r="B74" s="11" t="s">
        <v>181</v>
      </c>
      <c r="D74" s="11" t="s">
        <v>182</v>
      </c>
      <c r="F74" s="104"/>
      <c r="G74" s="104"/>
      <c r="H74" s="12">
        <f>SUM(H75+H76+H77)</f>
        <v>1150000</v>
      </c>
      <c r="I74" s="12">
        <f>SUM(I75+I76+I77)</f>
        <v>1150000</v>
      </c>
      <c r="J74" s="12">
        <f>SUM(J75+J76+J77)</f>
        <v>1109046</v>
      </c>
      <c r="K74" s="281">
        <f t="shared" si="3"/>
        <v>0.9643878260869565</v>
      </c>
    </row>
    <row r="75" spans="1:11" x14ac:dyDescent="0.25">
      <c r="C75" s="11" t="s">
        <v>183</v>
      </c>
      <c r="D75" s="11" t="s">
        <v>184</v>
      </c>
      <c r="F75" s="104"/>
      <c r="G75" s="104"/>
      <c r="H75" s="106">
        <v>50000</v>
      </c>
      <c r="I75" s="106">
        <v>50000</v>
      </c>
      <c r="J75" s="106">
        <v>39929</v>
      </c>
      <c r="K75" s="281">
        <f t="shared" si="3"/>
        <v>0.79857999999999996</v>
      </c>
    </row>
    <row r="76" spans="1:11" x14ac:dyDescent="0.25">
      <c r="C76" s="11" t="s">
        <v>185</v>
      </c>
      <c r="D76" s="11" t="s">
        <v>186</v>
      </c>
      <c r="F76" s="104"/>
      <c r="G76" s="104"/>
      <c r="H76" s="110">
        <v>500000</v>
      </c>
      <c r="I76" s="106">
        <v>500000</v>
      </c>
      <c r="J76" s="106">
        <v>239960</v>
      </c>
      <c r="K76" s="281">
        <f t="shared" si="3"/>
        <v>0.47992000000000001</v>
      </c>
    </row>
    <row r="77" spans="1:11" x14ac:dyDescent="0.25">
      <c r="C77" s="11" t="s">
        <v>187</v>
      </c>
      <c r="D77" s="11" t="s">
        <v>188</v>
      </c>
      <c r="F77" s="104"/>
      <c r="G77" s="104"/>
      <c r="H77" s="106">
        <f>H78</f>
        <v>600000</v>
      </c>
      <c r="I77" s="106">
        <f>I78</f>
        <v>600000</v>
      </c>
      <c r="J77" s="106">
        <f>J78+J79</f>
        <v>829157</v>
      </c>
      <c r="K77" s="281">
        <f t="shared" si="3"/>
        <v>1.3819283333333334</v>
      </c>
    </row>
    <row r="78" spans="1:11" x14ac:dyDescent="0.25">
      <c r="F78" s="104" t="s">
        <v>224</v>
      </c>
      <c r="G78" s="104"/>
      <c r="H78" s="110">
        <v>600000</v>
      </c>
      <c r="I78" s="106">
        <v>600000</v>
      </c>
      <c r="J78" s="106">
        <v>455618</v>
      </c>
      <c r="K78" s="281">
        <f t="shared" si="3"/>
        <v>0.75936333333333328</v>
      </c>
    </row>
    <row r="79" spans="1:11" x14ac:dyDescent="0.25">
      <c r="F79" s="104" t="s">
        <v>189</v>
      </c>
      <c r="G79" s="104"/>
      <c r="H79" s="110"/>
      <c r="I79" s="106">
        <v>0</v>
      </c>
      <c r="J79" s="106">
        <v>373539</v>
      </c>
      <c r="K79" s="281" t="s">
        <v>363</v>
      </c>
    </row>
    <row r="80" spans="1:11" x14ac:dyDescent="0.25">
      <c r="B80" s="11" t="s">
        <v>194</v>
      </c>
      <c r="D80" s="11" t="s">
        <v>195</v>
      </c>
      <c r="F80" s="104"/>
      <c r="G80" s="104"/>
      <c r="H80" s="12">
        <f>SUM(H81)</f>
        <v>500000</v>
      </c>
      <c r="I80" s="12">
        <f>SUM(I81)</f>
        <v>500000</v>
      </c>
      <c r="J80" s="12">
        <f>SUM(J81:J82)</f>
        <v>213081</v>
      </c>
      <c r="K80" s="281">
        <f t="shared" si="3"/>
        <v>0.42616199999999999</v>
      </c>
    </row>
    <row r="81" spans="1:11" x14ac:dyDescent="0.25">
      <c r="C81" s="11" t="s">
        <v>196</v>
      </c>
      <c r="D81" s="11" t="s">
        <v>197</v>
      </c>
      <c r="F81" s="104"/>
      <c r="G81" s="104"/>
      <c r="H81" s="110">
        <v>500000</v>
      </c>
      <c r="I81" s="106">
        <v>500000</v>
      </c>
      <c r="J81" s="106">
        <v>213077</v>
      </c>
      <c r="K81" s="281">
        <f t="shared" si="3"/>
        <v>0.42615399999999998</v>
      </c>
    </row>
    <row r="82" spans="1:11" x14ac:dyDescent="0.25">
      <c r="C82" s="11" t="s">
        <v>200</v>
      </c>
      <c r="D82" s="11" t="s">
        <v>201</v>
      </c>
      <c r="F82" s="104"/>
      <c r="G82" s="104"/>
      <c r="H82" s="110"/>
      <c r="I82" s="106">
        <v>1E-3</v>
      </c>
      <c r="J82" s="106">
        <v>4</v>
      </c>
      <c r="K82" s="281" t="s">
        <v>363</v>
      </c>
    </row>
    <row r="83" spans="1:11" x14ac:dyDescent="0.25">
      <c r="A83" s="9" t="s">
        <v>33</v>
      </c>
      <c r="B83" s="13" t="s">
        <v>34</v>
      </c>
      <c r="F83" s="104"/>
      <c r="G83" s="104"/>
      <c r="H83" s="103">
        <f>SUM(H84:H86)</f>
        <v>1500000</v>
      </c>
      <c r="I83" s="103">
        <f>SUM(I84:I86)</f>
        <v>1500000</v>
      </c>
      <c r="J83" s="103">
        <f>SUM(J84:J86)</f>
        <v>250000</v>
      </c>
      <c r="K83" s="246">
        <f>J83/I83</f>
        <v>0.16666666666666666</v>
      </c>
    </row>
    <row r="84" spans="1:11" x14ac:dyDescent="0.25">
      <c r="B84" s="11" t="s">
        <v>225</v>
      </c>
      <c r="D84" s="11" t="s">
        <v>226</v>
      </c>
      <c r="F84" s="104"/>
      <c r="G84" s="104"/>
      <c r="H84" s="106">
        <v>0</v>
      </c>
      <c r="I84" s="106">
        <v>0</v>
      </c>
      <c r="J84" s="106">
        <v>0</v>
      </c>
      <c r="K84" s="281" t="s">
        <v>363</v>
      </c>
    </row>
    <row r="85" spans="1:11" x14ac:dyDescent="0.25">
      <c r="B85" s="11" t="s">
        <v>227</v>
      </c>
      <c r="C85" s="9"/>
      <c r="D85" s="11" t="s">
        <v>228</v>
      </c>
      <c r="E85" s="9"/>
      <c r="F85" s="120"/>
      <c r="G85" s="106"/>
      <c r="H85" s="106">
        <v>1180000</v>
      </c>
      <c r="I85" s="106">
        <v>1180000</v>
      </c>
      <c r="J85" s="106">
        <v>250000</v>
      </c>
      <c r="K85" s="281">
        <f t="shared" ref="K85:K86" si="4">J85/I85</f>
        <v>0.21186440677966101</v>
      </c>
    </row>
    <row r="86" spans="1:11" x14ac:dyDescent="0.25">
      <c r="B86" s="11" t="s">
        <v>229</v>
      </c>
      <c r="D86" s="11" t="s">
        <v>230</v>
      </c>
      <c r="F86" s="104"/>
      <c r="G86" s="104"/>
      <c r="H86" s="106">
        <v>320000</v>
      </c>
      <c r="I86" s="106">
        <v>320000</v>
      </c>
      <c r="J86" s="106">
        <v>0</v>
      </c>
      <c r="K86" s="281">
        <f t="shared" si="4"/>
        <v>0</v>
      </c>
    </row>
    <row r="87" spans="1:11" s="9" customFormat="1" x14ac:dyDescent="0.25">
      <c r="A87" s="9" t="s">
        <v>35</v>
      </c>
      <c r="B87" s="9" t="s">
        <v>36</v>
      </c>
      <c r="F87" s="107"/>
      <c r="G87" s="121"/>
      <c r="H87" s="103">
        <f>SUM(H88:H89)</f>
        <v>1000000</v>
      </c>
      <c r="I87" s="103">
        <f>SUM(I88:I89)</f>
        <v>3175000</v>
      </c>
      <c r="J87" s="103">
        <f>SUM(J88:J89)</f>
        <v>3175000</v>
      </c>
      <c r="K87" s="246">
        <f t="shared" si="3"/>
        <v>1</v>
      </c>
    </row>
    <row r="88" spans="1:11" x14ac:dyDescent="0.25">
      <c r="B88" s="11" t="s">
        <v>231</v>
      </c>
      <c r="D88" s="11" t="s">
        <v>232</v>
      </c>
      <c r="F88" s="104"/>
      <c r="G88" s="77"/>
      <c r="H88" s="106">
        <v>785000</v>
      </c>
      <c r="I88" s="106">
        <v>2500000</v>
      </c>
      <c r="J88" s="106">
        <v>2500000</v>
      </c>
      <c r="K88" s="281">
        <f t="shared" si="3"/>
        <v>1</v>
      </c>
    </row>
    <row r="89" spans="1:11" x14ac:dyDescent="0.25">
      <c r="B89" s="11" t="s">
        <v>233</v>
      </c>
      <c r="D89" s="11" t="s">
        <v>234</v>
      </c>
      <c r="F89" s="104"/>
      <c r="G89" s="77"/>
      <c r="H89" s="106">
        <v>215000</v>
      </c>
      <c r="I89" s="106">
        <v>675000</v>
      </c>
      <c r="J89" s="106">
        <v>675000</v>
      </c>
      <c r="K89" s="281">
        <f t="shared" si="3"/>
        <v>1</v>
      </c>
    </row>
    <row r="90" spans="1:11" s="9" customFormat="1" ht="30" customHeight="1" x14ac:dyDescent="0.25">
      <c r="A90" s="44" t="s">
        <v>235</v>
      </c>
      <c r="B90" s="34"/>
      <c r="C90" s="34"/>
      <c r="D90" s="34"/>
      <c r="E90" s="34"/>
      <c r="F90" s="117"/>
      <c r="G90" s="117"/>
      <c r="H90" s="118">
        <f t="shared" ref="H90:K91" si="5">SUM(H91)</f>
        <v>403606</v>
      </c>
      <c r="I90" s="118">
        <f t="shared" si="5"/>
        <v>0</v>
      </c>
      <c r="J90" s="118">
        <f t="shared" si="5"/>
        <v>0</v>
      </c>
      <c r="K90" s="118">
        <f t="shared" si="5"/>
        <v>0</v>
      </c>
    </row>
    <row r="91" spans="1:11" s="9" customFormat="1" x14ac:dyDescent="0.25">
      <c r="A91" s="9" t="s">
        <v>30</v>
      </c>
      <c r="B91" s="9" t="s">
        <v>31</v>
      </c>
      <c r="F91" s="107"/>
      <c r="G91" s="102"/>
      <c r="H91" s="103">
        <f t="shared" si="5"/>
        <v>403606</v>
      </c>
      <c r="I91" s="103">
        <f t="shared" si="5"/>
        <v>0</v>
      </c>
      <c r="J91" s="103">
        <f t="shared" si="5"/>
        <v>0</v>
      </c>
      <c r="K91" s="105" t="s">
        <v>363</v>
      </c>
    </row>
    <row r="92" spans="1:11" x14ac:dyDescent="0.25">
      <c r="C92" s="11" t="s">
        <v>202</v>
      </c>
      <c r="D92" s="11" t="s">
        <v>203</v>
      </c>
      <c r="F92" s="104"/>
      <c r="G92" s="104"/>
      <c r="H92" s="106">
        <f>H93</f>
        <v>403606</v>
      </c>
      <c r="I92" s="106">
        <f>I93</f>
        <v>0</v>
      </c>
      <c r="J92" s="106">
        <f>J93</f>
        <v>0</v>
      </c>
      <c r="K92" s="105" t="s">
        <v>363</v>
      </c>
    </row>
    <row r="93" spans="1:11" x14ac:dyDescent="0.25">
      <c r="F93" s="104" t="s">
        <v>204</v>
      </c>
      <c r="G93" s="104"/>
      <c r="H93" s="106">
        <v>403606</v>
      </c>
      <c r="I93" s="106">
        <v>0</v>
      </c>
      <c r="J93" s="106">
        <v>0</v>
      </c>
      <c r="K93" s="105" t="s">
        <v>363</v>
      </c>
    </row>
    <row r="94" spans="1:11" ht="32.25" customHeight="1" x14ac:dyDescent="0.25">
      <c r="A94" s="405" t="s">
        <v>80</v>
      </c>
      <c r="B94" s="405"/>
      <c r="C94" s="405"/>
      <c r="D94" s="405"/>
      <c r="E94" s="405"/>
      <c r="F94" s="405"/>
      <c r="G94" s="100"/>
      <c r="H94" s="118">
        <f>SUM(H95,H106)</f>
        <v>890050</v>
      </c>
      <c r="I94" s="118">
        <f>SUM(I95,I106)</f>
        <v>1751050</v>
      </c>
      <c r="J94" s="118">
        <f>SUM(J95,J106)</f>
        <v>805255</v>
      </c>
      <c r="K94" s="247">
        <f>J94/I94</f>
        <v>0.45986979241026815</v>
      </c>
    </row>
    <row r="95" spans="1:11" s="9" customFormat="1" x14ac:dyDescent="0.25">
      <c r="A95" s="9" t="s">
        <v>26</v>
      </c>
      <c r="B95" s="9" t="s">
        <v>27</v>
      </c>
      <c r="F95" s="107"/>
      <c r="G95" s="102"/>
      <c r="H95" s="10">
        <f>SUM(H96+H99+H104)</f>
        <v>490000</v>
      </c>
      <c r="I95" s="10">
        <f>SUM(I96+I99+I104)</f>
        <v>1351000</v>
      </c>
      <c r="J95" s="10">
        <f>SUM(J96+J99+J104)</f>
        <v>805255</v>
      </c>
      <c r="K95" s="267">
        <f>J95/I95</f>
        <v>0.59604367135455216</v>
      </c>
    </row>
    <row r="96" spans="1:11" x14ac:dyDescent="0.25">
      <c r="B96" s="11" t="s">
        <v>168</v>
      </c>
      <c r="D96" s="11" t="s">
        <v>169</v>
      </c>
      <c r="F96" s="109"/>
      <c r="G96" s="109"/>
      <c r="H96" s="12">
        <f t="shared" ref="H96:J97" si="6">SUM(H97)</f>
        <v>20000</v>
      </c>
      <c r="I96" s="12">
        <f t="shared" si="6"/>
        <v>20000</v>
      </c>
      <c r="J96" s="12">
        <f t="shared" si="6"/>
        <v>7669</v>
      </c>
      <c r="K96" s="282">
        <f t="shared" ref="K96:K108" si="7">J96/I96</f>
        <v>0.38345000000000001</v>
      </c>
    </row>
    <row r="97" spans="1:11" x14ac:dyDescent="0.25">
      <c r="C97" s="11" t="s">
        <v>173</v>
      </c>
      <c r="D97" s="11" t="s">
        <v>174</v>
      </c>
      <c r="F97" s="104"/>
      <c r="G97" s="104"/>
      <c r="H97" s="106">
        <f t="shared" si="6"/>
        <v>20000</v>
      </c>
      <c r="I97" s="106">
        <f t="shared" si="6"/>
        <v>20000</v>
      </c>
      <c r="J97" s="106">
        <f t="shared" si="6"/>
        <v>7669</v>
      </c>
      <c r="K97" s="282">
        <f t="shared" si="7"/>
        <v>0.38345000000000001</v>
      </c>
    </row>
    <row r="98" spans="1:11" x14ac:dyDescent="0.25">
      <c r="A98" s="9"/>
      <c r="B98" s="13"/>
      <c r="C98" s="13"/>
      <c r="D98" s="122"/>
      <c r="E98" s="122"/>
      <c r="F98" s="104" t="s">
        <v>236</v>
      </c>
      <c r="G98" s="104"/>
      <c r="H98" s="110">
        <v>20000</v>
      </c>
      <c r="I98" s="106">
        <v>20000</v>
      </c>
      <c r="J98" s="106">
        <v>7669</v>
      </c>
      <c r="K98" s="282">
        <f t="shared" si="7"/>
        <v>0.38345000000000001</v>
      </c>
    </row>
    <row r="99" spans="1:11" x14ac:dyDescent="0.25">
      <c r="B99" s="11" t="s">
        <v>181</v>
      </c>
      <c r="D99" s="11" t="s">
        <v>182</v>
      </c>
      <c r="F99" s="104"/>
      <c r="G99" s="104"/>
      <c r="H99" s="12">
        <f>H100+H101+H102</f>
        <v>365000</v>
      </c>
      <c r="I99" s="12">
        <f>SUM(I100:I102)</f>
        <v>1081000</v>
      </c>
      <c r="J99" s="12">
        <f>SUM(J100:J102)</f>
        <v>737491</v>
      </c>
      <c r="K99" s="282">
        <f t="shared" si="7"/>
        <v>0.6822303422756707</v>
      </c>
    </row>
    <row r="100" spans="1:11" x14ac:dyDescent="0.25">
      <c r="C100" s="11" t="s">
        <v>183</v>
      </c>
      <c r="D100" s="11" t="s">
        <v>184</v>
      </c>
      <c r="F100" s="104"/>
      <c r="G100" s="104"/>
      <c r="H100" s="106">
        <v>15000</v>
      </c>
      <c r="I100" s="106">
        <v>15000</v>
      </c>
      <c r="J100" s="106">
        <v>14891</v>
      </c>
      <c r="K100" s="282">
        <f t="shared" si="7"/>
        <v>0.99273333333333336</v>
      </c>
    </row>
    <row r="101" spans="1:11" x14ac:dyDescent="0.25">
      <c r="C101" s="11" t="s">
        <v>185</v>
      </c>
      <c r="D101" s="11" t="s">
        <v>186</v>
      </c>
      <c r="F101" s="104"/>
      <c r="G101" s="104"/>
      <c r="H101" s="106">
        <v>150000</v>
      </c>
      <c r="I101" s="106">
        <v>150000</v>
      </c>
      <c r="J101" s="106">
        <v>0</v>
      </c>
      <c r="K101" s="282">
        <f t="shared" si="7"/>
        <v>0</v>
      </c>
    </row>
    <row r="102" spans="1:11" x14ac:dyDescent="0.25">
      <c r="C102" s="11" t="s">
        <v>187</v>
      </c>
      <c r="D102" s="11" t="s">
        <v>188</v>
      </c>
      <c r="F102" s="104"/>
      <c r="G102" s="104"/>
      <c r="H102" s="106">
        <v>200000</v>
      </c>
      <c r="I102" s="106">
        <f>I103</f>
        <v>916000</v>
      </c>
      <c r="J102" s="106">
        <f>J103</f>
        <v>722600</v>
      </c>
      <c r="K102" s="282">
        <f t="shared" si="7"/>
        <v>0.78886462882096064</v>
      </c>
    </row>
    <row r="103" spans="1:11" x14ac:dyDescent="0.25">
      <c r="F103" s="104" t="s">
        <v>224</v>
      </c>
      <c r="G103" s="104"/>
      <c r="H103" s="110">
        <v>200000</v>
      </c>
      <c r="I103" s="106">
        <f>200000+126000+200000+390000</f>
        <v>916000</v>
      </c>
      <c r="J103" s="106">
        <v>722600</v>
      </c>
      <c r="K103" s="282">
        <f t="shared" si="7"/>
        <v>0.78886462882096064</v>
      </c>
    </row>
    <row r="104" spans="1:11" x14ac:dyDescent="0.25">
      <c r="B104" s="11" t="s">
        <v>194</v>
      </c>
      <c r="D104" s="11" t="s">
        <v>195</v>
      </c>
      <c r="F104" s="104"/>
      <c r="G104" s="104"/>
      <c r="H104" s="12">
        <f>SUM(H105)</f>
        <v>105000</v>
      </c>
      <c r="I104" s="12">
        <f>SUM(I105)</f>
        <v>250000</v>
      </c>
      <c r="J104" s="12">
        <f>SUM(J105)</f>
        <v>60095</v>
      </c>
      <c r="K104" s="282">
        <f t="shared" si="7"/>
        <v>0.24038000000000001</v>
      </c>
    </row>
    <row r="105" spans="1:11" x14ac:dyDescent="0.25">
      <c r="C105" s="11" t="s">
        <v>196</v>
      </c>
      <c r="D105" s="11" t="s">
        <v>197</v>
      </c>
      <c r="F105" s="104"/>
      <c r="G105" s="104"/>
      <c r="H105" s="106">
        <v>105000</v>
      </c>
      <c r="I105" s="106">
        <v>250000</v>
      </c>
      <c r="J105" s="106">
        <v>60095</v>
      </c>
      <c r="K105" s="282">
        <f t="shared" si="7"/>
        <v>0.24038000000000001</v>
      </c>
    </row>
    <row r="106" spans="1:11" s="9" customFormat="1" x14ac:dyDescent="0.25">
      <c r="A106" s="9" t="s">
        <v>33</v>
      </c>
      <c r="B106" s="9" t="s">
        <v>34</v>
      </c>
      <c r="F106" s="107"/>
      <c r="G106" s="102"/>
      <c r="H106" s="10">
        <f>SUM(H107:H108)</f>
        <v>400050</v>
      </c>
      <c r="I106" s="10">
        <f>SUM(I107:I108)</f>
        <v>400050</v>
      </c>
      <c r="J106" s="10">
        <f>SUM(J107:J108)</f>
        <v>0</v>
      </c>
      <c r="K106" s="267">
        <f t="shared" si="7"/>
        <v>0</v>
      </c>
    </row>
    <row r="107" spans="1:11" x14ac:dyDescent="0.25">
      <c r="B107" s="11" t="s">
        <v>237</v>
      </c>
      <c r="D107" s="11" t="s">
        <v>238</v>
      </c>
      <c r="F107" s="104"/>
      <c r="G107" s="104"/>
      <c r="H107" s="106">
        <v>315000</v>
      </c>
      <c r="I107" s="106">
        <v>315000</v>
      </c>
      <c r="J107" s="106">
        <v>0</v>
      </c>
      <c r="K107" s="282">
        <f t="shared" si="7"/>
        <v>0</v>
      </c>
    </row>
    <row r="108" spans="1:11" x14ac:dyDescent="0.25">
      <c r="B108" s="11" t="s">
        <v>229</v>
      </c>
      <c r="D108" s="11" t="s">
        <v>230</v>
      </c>
      <c r="F108" s="104"/>
      <c r="G108" s="104"/>
      <c r="H108" s="106">
        <f>H107*0.27</f>
        <v>85050</v>
      </c>
      <c r="I108" s="106">
        <f>I107*0.27</f>
        <v>85050</v>
      </c>
      <c r="J108" s="106">
        <v>0</v>
      </c>
      <c r="K108" s="282">
        <f t="shared" si="7"/>
        <v>0</v>
      </c>
    </row>
    <row r="109" spans="1:11" s="9" customFormat="1" ht="29.45" customHeight="1" x14ac:dyDescent="0.25">
      <c r="A109" s="44" t="s">
        <v>239</v>
      </c>
      <c r="B109" s="34"/>
      <c r="C109" s="34"/>
      <c r="D109" s="34"/>
      <c r="E109" s="34"/>
      <c r="F109" s="240"/>
      <c r="G109" s="240"/>
      <c r="H109" s="123">
        <f>H110+H118</f>
        <v>1315000</v>
      </c>
      <c r="I109" s="123">
        <f>I110+I118</f>
        <v>1315000</v>
      </c>
      <c r="J109" s="123">
        <f>J110+J118</f>
        <v>468724</v>
      </c>
      <c r="K109" s="252">
        <f>J109/I109</f>
        <v>0.35644410646387831</v>
      </c>
    </row>
    <row r="110" spans="1:11" s="9" customFormat="1" x14ac:dyDescent="0.25">
      <c r="A110" s="9" t="s">
        <v>26</v>
      </c>
      <c r="B110" s="9" t="s">
        <v>27</v>
      </c>
      <c r="F110" s="107"/>
      <c r="G110" s="102"/>
      <c r="H110" s="10">
        <f>SUM(H111+H113+H116)</f>
        <v>680000</v>
      </c>
      <c r="I110" s="10">
        <f>SUM(I111+I113+I116)</f>
        <v>680000</v>
      </c>
      <c r="J110" s="10">
        <f>SUM(J111+J113+J116)</f>
        <v>399724</v>
      </c>
      <c r="K110" s="267">
        <f>J110/I110</f>
        <v>0.58782941176470593</v>
      </c>
    </row>
    <row r="111" spans="1:11" x14ac:dyDescent="0.25">
      <c r="B111" s="11" t="s">
        <v>168</v>
      </c>
      <c r="D111" s="11" t="s">
        <v>169</v>
      </c>
      <c r="F111" s="109"/>
      <c r="G111" s="109"/>
      <c r="H111" s="12">
        <f>SUM(H112)</f>
        <v>400000</v>
      </c>
      <c r="I111" s="12">
        <f>SUM(I112)</f>
        <v>400000</v>
      </c>
      <c r="J111" s="12">
        <f>SUM(J112)</f>
        <v>316053</v>
      </c>
      <c r="K111" s="282">
        <f t="shared" ref="K111:K120" si="8">J111/I111</f>
        <v>0.79013250000000002</v>
      </c>
    </row>
    <row r="112" spans="1:11" x14ac:dyDescent="0.25">
      <c r="C112" s="11" t="s">
        <v>173</v>
      </c>
      <c r="D112" s="11" t="s">
        <v>240</v>
      </c>
      <c r="F112" s="104"/>
      <c r="G112" s="104"/>
      <c r="H112" s="106">
        <v>400000</v>
      </c>
      <c r="I112" s="106">
        <v>400000</v>
      </c>
      <c r="J112" s="106">
        <v>316053</v>
      </c>
      <c r="K112" s="282">
        <f t="shared" si="8"/>
        <v>0.79013250000000002</v>
      </c>
    </row>
    <row r="113" spans="1:11" x14ac:dyDescent="0.25">
      <c r="B113" s="11" t="s">
        <v>181</v>
      </c>
      <c r="D113" s="11" t="s">
        <v>182</v>
      </c>
      <c r="F113" s="104"/>
      <c r="G113" s="104"/>
      <c r="H113" s="12">
        <f>SUM(H114)</f>
        <v>130000</v>
      </c>
      <c r="I113" s="12">
        <f>SUM(I114)</f>
        <v>130000</v>
      </c>
      <c r="J113" s="12">
        <f>SUM(J114:J115)</f>
        <v>18036</v>
      </c>
      <c r="K113" s="282">
        <f t="shared" si="8"/>
        <v>0.13873846153846153</v>
      </c>
    </row>
    <row r="114" spans="1:11" x14ac:dyDescent="0.25">
      <c r="C114" s="11" t="s">
        <v>185</v>
      </c>
      <c r="D114" s="11" t="s">
        <v>186</v>
      </c>
      <c r="F114" s="104"/>
      <c r="G114" s="104"/>
      <c r="H114" s="106">
        <v>130000</v>
      </c>
      <c r="I114" s="106">
        <v>130000</v>
      </c>
      <c r="J114" s="106">
        <v>5598</v>
      </c>
      <c r="K114" s="282">
        <f t="shared" si="8"/>
        <v>4.3061538461538464E-2</v>
      </c>
    </row>
    <row r="115" spans="1:11" x14ac:dyDescent="0.25">
      <c r="C115" s="11" t="s">
        <v>187</v>
      </c>
      <c r="D115" s="11" t="s">
        <v>188</v>
      </c>
      <c r="F115" s="104"/>
      <c r="G115" s="104"/>
      <c r="H115" s="106">
        <v>0</v>
      </c>
      <c r="I115" s="106">
        <v>15000</v>
      </c>
      <c r="J115" s="106">
        <v>12438</v>
      </c>
      <c r="K115" s="282">
        <f>J115/I115</f>
        <v>0.82920000000000005</v>
      </c>
    </row>
    <row r="116" spans="1:11" x14ac:dyDescent="0.25">
      <c r="B116" s="11" t="s">
        <v>194</v>
      </c>
      <c r="D116" s="11" t="s">
        <v>195</v>
      </c>
      <c r="F116" s="104"/>
      <c r="G116" s="104"/>
      <c r="H116" s="12">
        <f>SUM(H117)</f>
        <v>150000</v>
      </c>
      <c r="I116" s="12">
        <f>SUM(I117:I117)</f>
        <v>150000</v>
      </c>
      <c r="J116" s="12">
        <f>SUM(J117:J117)</f>
        <v>65635</v>
      </c>
      <c r="K116" s="282">
        <f>J116/I116</f>
        <v>0.43756666666666666</v>
      </c>
    </row>
    <row r="117" spans="1:11" x14ac:dyDescent="0.25">
      <c r="C117" s="11" t="s">
        <v>196</v>
      </c>
      <c r="D117" s="11" t="s">
        <v>197</v>
      </c>
      <c r="F117" s="104"/>
      <c r="G117" s="104"/>
      <c r="H117" s="106">
        <v>150000</v>
      </c>
      <c r="I117" s="106">
        <v>150000</v>
      </c>
      <c r="J117" s="106">
        <v>65635</v>
      </c>
      <c r="K117" s="282">
        <f t="shared" si="8"/>
        <v>0.43756666666666666</v>
      </c>
    </row>
    <row r="118" spans="1:11" x14ac:dyDescent="0.25">
      <c r="A118" s="9" t="s">
        <v>33</v>
      </c>
      <c r="B118" s="13" t="s">
        <v>34</v>
      </c>
      <c r="F118" s="104"/>
      <c r="G118" s="104"/>
      <c r="H118" s="103">
        <f>SUM(H119:H120)</f>
        <v>635000</v>
      </c>
      <c r="I118" s="103">
        <f>SUM(I119:I120)</f>
        <v>635000</v>
      </c>
      <c r="J118" s="103">
        <f>SUM(J119:J120)</f>
        <v>69000</v>
      </c>
      <c r="K118" s="267">
        <f t="shared" si="8"/>
        <v>0.10866141732283464</v>
      </c>
    </row>
    <row r="119" spans="1:11" x14ac:dyDescent="0.25">
      <c r="B119" s="11" t="s">
        <v>227</v>
      </c>
      <c r="C119" s="9"/>
      <c r="D119" s="11" t="s">
        <v>228</v>
      </c>
      <c r="E119" s="9"/>
      <c r="F119" s="120"/>
      <c r="G119" s="106"/>
      <c r="H119" s="106">
        <v>500000</v>
      </c>
      <c r="I119" s="106">
        <v>500000</v>
      </c>
      <c r="J119" s="106">
        <v>54331</v>
      </c>
      <c r="K119" s="282">
        <f t="shared" si="8"/>
        <v>0.10866199999999999</v>
      </c>
    </row>
    <row r="120" spans="1:11" x14ac:dyDescent="0.25">
      <c r="B120" s="11" t="s">
        <v>229</v>
      </c>
      <c r="D120" s="11" t="s">
        <v>230</v>
      </c>
      <c r="F120" s="104"/>
      <c r="G120" s="104"/>
      <c r="H120" s="106">
        <f>H119*0.27</f>
        <v>135000</v>
      </c>
      <c r="I120" s="106">
        <f>I119*0.27</f>
        <v>135000</v>
      </c>
      <c r="J120" s="106">
        <v>14669</v>
      </c>
      <c r="K120" s="282">
        <f t="shared" si="8"/>
        <v>0.10865925925925926</v>
      </c>
    </row>
    <row r="121" spans="1:11" s="9" customFormat="1" ht="30.6" customHeight="1" x14ac:dyDescent="0.25">
      <c r="A121" s="406" t="s">
        <v>241</v>
      </c>
      <c r="B121" s="406"/>
      <c r="C121" s="406"/>
      <c r="D121" s="406"/>
      <c r="E121" s="406"/>
      <c r="F121" s="406"/>
      <c r="G121" s="117"/>
      <c r="H121" s="123">
        <f>SUM(H122)</f>
        <v>762000</v>
      </c>
      <c r="I121" s="123">
        <f>SUM(I122)</f>
        <v>762000</v>
      </c>
      <c r="J121" s="123">
        <f>SUM(J122)</f>
        <v>663674</v>
      </c>
      <c r="K121" s="252">
        <f>J121/I121</f>
        <v>0.87096325459317581</v>
      </c>
    </row>
    <row r="122" spans="1:11" s="9" customFormat="1" x14ac:dyDescent="0.25">
      <c r="A122" s="9" t="s">
        <v>26</v>
      </c>
      <c r="B122" s="9" t="s">
        <v>27</v>
      </c>
      <c r="F122" s="107"/>
      <c r="G122" s="102"/>
      <c r="H122" s="10">
        <f>SUM(H123+H126)</f>
        <v>762000</v>
      </c>
      <c r="I122" s="10">
        <f>SUM(I123+I126)</f>
        <v>762000</v>
      </c>
      <c r="J122" s="10">
        <f>SUM(J123+J126)</f>
        <v>663674</v>
      </c>
      <c r="K122" s="267">
        <f>J122/I122</f>
        <v>0.87096325459317581</v>
      </c>
    </row>
    <row r="123" spans="1:11" x14ac:dyDescent="0.25">
      <c r="B123" s="11" t="s">
        <v>181</v>
      </c>
      <c r="D123" s="11" t="s">
        <v>182</v>
      </c>
      <c r="F123" s="104"/>
      <c r="G123" s="104"/>
      <c r="H123" s="12">
        <f>SUM(H124)</f>
        <v>600000</v>
      </c>
      <c r="I123" s="12">
        <f>SUM(I124)</f>
        <v>600000</v>
      </c>
      <c r="J123" s="12">
        <f>SUM(J124)</f>
        <v>529031</v>
      </c>
      <c r="K123" s="282">
        <f t="shared" ref="K123:K127" si="9">J123/I123</f>
        <v>0.88171833333333338</v>
      </c>
    </row>
    <row r="124" spans="1:11" x14ac:dyDescent="0.25">
      <c r="C124" s="11" t="s">
        <v>183</v>
      </c>
      <c r="D124" s="11" t="s">
        <v>184</v>
      </c>
      <c r="F124" s="104"/>
      <c r="G124" s="104"/>
      <c r="H124" s="106">
        <f>SUM(H125)</f>
        <v>600000</v>
      </c>
      <c r="I124" s="106">
        <f>SUM(I125)</f>
        <v>600000</v>
      </c>
      <c r="J124" s="106">
        <v>529031</v>
      </c>
      <c r="K124" s="282">
        <f t="shared" si="9"/>
        <v>0.88171833333333338</v>
      </c>
    </row>
    <row r="125" spans="1:11" x14ac:dyDescent="0.25">
      <c r="F125" s="104" t="s">
        <v>242</v>
      </c>
      <c r="G125" s="104"/>
      <c r="H125" s="106">
        <v>600000</v>
      </c>
      <c r="I125" s="106">
        <v>600000</v>
      </c>
      <c r="J125" s="106">
        <v>600000</v>
      </c>
      <c r="K125" s="282">
        <f t="shared" si="9"/>
        <v>1</v>
      </c>
    </row>
    <row r="126" spans="1:11" x14ac:dyDescent="0.25">
      <c r="B126" s="11" t="s">
        <v>194</v>
      </c>
      <c r="D126" s="11" t="s">
        <v>195</v>
      </c>
      <c r="F126" s="104"/>
      <c r="G126" s="104"/>
      <c r="H126" s="105">
        <f>SUM(H127)</f>
        <v>162000</v>
      </c>
      <c r="I126" s="105">
        <f>SUM(I127)</f>
        <v>162000</v>
      </c>
      <c r="J126" s="105">
        <f>SUM(J127)</f>
        <v>134643</v>
      </c>
      <c r="K126" s="282">
        <f t="shared" si="9"/>
        <v>0.83112962962962966</v>
      </c>
    </row>
    <row r="127" spans="1:11" x14ac:dyDescent="0.25">
      <c r="C127" s="11" t="s">
        <v>196</v>
      </c>
      <c r="D127" s="11" t="s">
        <v>197</v>
      </c>
      <c r="F127" s="104"/>
      <c r="G127" s="104"/>
      <c r="H127" s="106">
        <f>H124*0.27</f>
        <v>162000</v>
      </c>
      <c r="I127" s="106">
        <f>I124*0.27</f>
        <v>162000</v>
      </c>
      <c r="J127" s="106">
        <v>134643</v>
      </c>
      <c r="K127" s="282">
        <f t="shared" si="9"/>
        <v>0.83112962962962966</v>
      </c>
    </row>
    <row r="128" spans="1:11" s="9" customFormat="1" ht="30" customHeight="1" x14ac:dyDescent="0.25">
      <c r="A128" s="44" t="s">
        <v>243</v>
      </c>
      <c r="B128" s="34"/>
      <c r="C128" s="34"/>
      <c r="D128" s="34"/>
      <c r="E128" s="34"/>
      <c r="F128" s="117"/>
      <c r="G128" s="124">
        <v>1</v>
      </c>
      <c r="H128" s="123">
        <f>SUM(H129+H135+H137)</f>
        <v>4432000</v>
      </c>
      <c r="I128" s="123">
        <f>SUM(I129+I135+I137)</f>
        <v>5404190</v>
      </c>
      <c r="J128" s="123">
        <f>SUM(J129+J135+J137)</f>
        <v>4872066</v>
      </c>
      <c r="K128" s="252">
        <f>J128/I128</f>
        <v>0.90153492012679048</v>
      </c>
    </row>
    <row r="129" spans="1:11" s="9" customFormat="1" x14ac:dyDescent="0.25">
      <c r="A129" s="9" t="s">
        <v>22</v>
      </c>
      <c r="B129" s="9" t="s">
        <v>150</v>
      </c>
      <c r="F129" s="107"/>
      <c r="G129" s="102"/>
      <c r="H129" s="103">
        <f>SUM(H130)</f>
        <v>2782000</v>
      </c>
      <c r="I129" s="103">
        <f>SUM(I130)</f>
        <v>3636123</v>
      </c>
      <c r="J129" s="103">
        <f>SUM(J130)</f>
        <v>3453771</v>
      </c>
      <c r="K129" s="246">
        <f>J129/I129</f>
        <v>0.94984988131589609</v>
      </c>
    </row>
    <row r="130" spans="1:11" x14ac:dyDescent="0.25">
      <c r="B130" s="11" t="s">
        <v>151</v>
      </c>
      <c r="D130" s="11" t="s">
        <v>152</v>
      </c>
      <c r="F130" s="104"/>
      <c r="G130" s="104"/>
      <c r="H130" s="12">
        <f>SUM(H131:H134)</f>
        <v>2782000</v>
      </c>
      <c r="I130" s="12">
        <f>SUM(I131:I134)</f>
        <v>3636123</v>
      </c>
      <c r="J130" s="12">
        <f>SUM(J131:J134)</f>
        <v>3453771</v>
      </c>
      <c r="K130" s="281">
        <f t="shared" ref="K130:K146" si="10">J130/I130</f>
        <v>0.94984988131589609</v>
      </c>
    </row>
    <row r="131" spans="1:11" x14ac:dyDescent="0.25">
      <c r="C131" s="11" t="s">
        <v>153</v>
      </c>
      <c r="D131" s="11" t="s">
        <v>154</v>
      </c>
      <c r="F131" s="104"/>
      <c r="G131" s="104"/>
      <c r="H131" s="106">
        <v>2762000</v>
      </c>
      <c r="I131" s="106">
        <v>2941452</v>
      </c>
      <c r="J131" s="106">
        <v>2921550</v>
      </c>
      <c r="K131" s="281">
        <f t="shared" si="10"/>
        <v>0.99323395384320401</v>
      </c>
    </row>
    <row r="132" spans="1:11" x14ac:dyDescent="0.25">
      <c r="C132" s="11" t="s">
        <v>244</v>
      </c>
      <c r="D132" s="104" t="s">
        <v>245</v>
      </c>
      <c r="F132" s="104"/>
      <c r="G132" s="104"/>
      <c r="H132" s="106">
        <v>0</v>
      </c>
      <c r="I132" s="106">
        <f>244671</f>
        <v>244671</v>
      </c>
      <c r="J132" s="106">
        <f>244671</f>
        <v>244671</v>
      </c>
      <c r="K132" s="281">
        <f t="shared" si="10"/>
        <v>1</v>
      </c>
    </row>
    <row r="133" spans="1:11" x14ac:dyDescent="0.25">
      <c r="C133" s="11" t="s">
        <v>246</v>
      </c>
      <c r="D133" s="104" t="s">
        <v>247</v>
      </c>
      <c r="F133" s="104"/>
      <c r="G133" s="104"/>
      <c r="H133" s="106">
        <v>0</v>
      </c>
      <c r="I133" s="106">
        <v>430000</v>
      </c>
      <c r="J133" s="106">
        <v>285950</v>
      </c>
      <c r="K133" s="281">
        <f t="shared" si="10"/>
        <v>0.66500000000000004</v>
      </c>
    </row>
    <row r="134" spans="1:11" x14ac:dyDescent="0.25">
      <c r="C134" s="11" t="s">
        <v>159</v>
      </c>
      <c r="D134" s="11" t="s">
        <v>160</v>
      </c>
      <c r="F134" s="104"/>
      <c r="G134" s="104"/>
      <c r="H134" s="106">
        <v>20000</v>
      </c>
      <c r="I134" s="106">
        <v>20000</v>
      </c>
      <c r="J134" s="106">
        <v>1600</v>
      </c>
      <c r="K134" s="281">
        <f t="shared" si="10"/>
        <v>0.08</v>
      </c>
    </row>
    <row r="135" spans="1:11" s="9" customFormat="1" ht="15.75" customHeight="1" x14ac:dyDescent="0.25">
      <c r="A135" s="9" t="s">
        <v>24</v>
      </c>
      <c r="B135" s="9" t="s">
        <v>166</v>
      </c>
      <c r="F135" s="107"/>
      <c r="G135" s="108"/>
      <c r="H135" s="10">
        <f>SUM(H136)</f>
        <v>550000</v>
      </c>
      <c r="I135" s="10">
        <f>SUM(I136)</f>
        <v>668067</v>
      </c>
      <c r="J135" s="10">
        <f>SUM(J136)</f>
        <v>588363</v>
      </c>
      <c r="K135" s="246">
        <f t="shared" si="10"/>
        <v>0.88069460099061925</v>
      </c>
    </row>
    <row r="136" spans="1:11" x14ac:dyDescent="0.25">
      <c r="D136" s="11" t="s">
        <v>167</v>
      </c>
      <c r="F136" s="104"/>
      <c r="G136" s="104"/>
      <c r="H136" s="106">
        <v>550000</v>
      </c>
      <c r="I136" s="106">
        <v>668067</v>
      </c>
      <c r="J136" s="106">
        <v>588363</v>
      </c>
      <c r="K136" s="281">
        <f t="shared" si="10"/>
        <v>0.88069460099061925</v>
      </c>
    </row>
    <row r="137" spans="1:11" s="9" customFormat="1" x14ac:dyDescent="0.25">
      <c r="A137" s="9" t="s">
        <v>26</v>
      </c>
      <c r="B137" s="9" t="s">
        <v>27</v>
      </c>
      <c r="F137" s="107"/>
      <c r="G137" s="102"/>
      <c r="H137" s="10">
        <f>SUM(H138+H140+H145)</f>
        <v>1100000</v>
      </c>
      <c r="I137" s="10">
        <f>SUM(I138+I140+I145)</f>
        <v>1100000</v>
      </c>
      <c r="J137" s="10">
        <f>SUM(J138+J140+J145)</f>
        <v>829932</v>
      </c>
      <c r="K137" s="246">
        <f t="shared" si="10"/>
        <v>0.75448363636363636</v>
      </c>
    </row>
    <row r="138" spans="1:11" x14ac:dyDescent="0.25">
      <c r="B138" s="11" t="s">
        <v>168</v>
      </c>
      <c r="D138" s="11" t="s">
        <v>169</v>
      </c>
      <c r="F138" s="109"/>
      <c r="G138" s="109"/>
      <c r="H138" s="12">
        <f>SUM(H139:H139)</f>
        <v>450000</v>
      </c>
      <c r="I138" s="12">
        <f>SUM(I139:I139)</f>
        <v>450000</v>
      </c>
      <c r="J138" s="12">
        <f>SUM(J139:J139)</f>
        <v>433292</v>
      </c>
      <c r="K138" s="281">
        <f t="shared" si="10"/>
        <v>0.96287111111111112</v>
      </c>
    </row>
    <row r="139" spans="1:11" x14ac:dyDescent="0.25">
      <c r="C139" s="11" t="s">
        <v>173</v>
      </c>
      <c r="D139" s="11" t="s">
        <v>240</v>
      </c>
      <c r="F139" s="104"/>
      <c r="G139" s="104"/>
      <c r="H139" s="106">
        <v>450000</v>
      </c>
      <c r="I139" s="106">
        <v>450000</v>
      </c>
      <c r="J139" s="106">
        <v>433292</v>
      </c>
      <c r="K139" s="281">
        <f t="shared" si="10"/>
        <v>0.96287111111111112</v>
      </c>
    </row>
    <row r="140" spans="1:11" x14ac:dyDescent="0.25">
      <c r="B140" s="11" t="s">
        <v>181</v>
      </c>
      <c r="D140" s="11" t="s">
        <v>182</v>
      </c>
      <c r="F140" s="104"/>
      <c r="G140" s="104"/>
      <c r="H140" s="12">
        <f>SUM(H141+H142)</f>
        <v>400000</v>
      </c>
      <c r="I140" s="12">
        <f>SUM(I141+I142)</f>
        <v>400000</v>
      </c>
      <c r="J140" s="12">
        <f>SUM(J141+J142)</f>
        <v>235129</v>
      </c>
      <c r="K140" s="281">
        <f t="shared" si="10"/>
        <v>0.58782250000000003</v>
      </c>
    </row>
    <row r="141" spans="1:11" x14ac:dyDescent="0.25">
      <c r="C141" s="11" t="s">
        <v>185</v>
      </c>
      <c r="D141" s="11" t="s">
        <v>186</v>
      </c>
      <c r="F141" s="104"/>
      <c r="G141" s="104"/>
      <c r="H141" s="106">
        <v>100000</v>
      </c>
      <c r="I141" s="106">
        <v>100000</v>
      </c>
      <c r="J141" s="106">
        <v>102312</v>
      </c>
      <c r="K141" s="281">
        <f t="shared" si="10"/>
        <v>1.02312</v>
      </c>
    </row>
    <row r="142" spans="1:11" x14ac:dyDescent="0.25">
      <c r="C142" s="11" t="s">
        <v>187</v>
      </c>
      <c r="D142" s="11" t="s">
        <v>188</v>
      </c>
      <c r="F142" s="104"/>
      <c r="G142" s="104"/>
      <c r="H142" s="106">
        <f>SUM(H143:H144)</f>
        <v>300000</v>
      </c>
      <c r="I142" s="106">
        <f>SUM(I143:I144)</f>
        <v>300000</v>
      </c>
      <c r="J142" s="106">
        <f>SUM(J143:J144)</f>
        <v>132817</v>
      </c>
      <c r="K142" s="281">
        <f t="shared" si="10"/>
        <v>0.44272333333333336</v>
      </c>
    </row>
    <row r="143" spans="1:11" x14ac:dyDescent="0.25">
      <c r="F143" s="104" t="s">
        <v>224</v>
      </c>
      <c r="G143" s="104"/>
      <c r="H143" s="110">
        <v>100000</v>
      </c>
      <c r="I143" s="110">
        <v>100000</v>
      </c>
      <c r="J143" s="110">
        <v>104491</v>
      </c>
      <c r="K143" s="281">
        <f t="shared" si="10"/>
        <v>1.04491</v>
      </c>
    </row>
    <row r="144" spans="1:11" x14ac:dyDescent="0.25">
      <c r="F144" s="104" t="s">
        <v>189</v>
      </c>
      <c r="G144" s="104"/>
      <c r="H144" s="110">
        <v>200000</v>
      </c>
      <c r="I144" s="110">
        <v>200000</v>
      </c>
      <c r="J144" s="110">
        <v>28326</v>
      </c>
      <c r="K144" s="281">
        <f t="shared" si="10"/>
        <v>0.14163000000000001</v>
      </c>
    </row>
    <row r="145" spans="1:11" x14ac:dyDescent="0.25">
      <c r="B145" s="11" t="s">
        <v>194</v>
      </c>
      <c r="D145" s="11" t="s">
        <v>195</v>
      </c>
      <c r="F145" s="104"/>
      <c r="G145" s="104"/>
      <c r="H145" s="12">
        <f>SUM(H146)</f>
        <v>250000</v>
      </c>
      <c r="I145" s="12">
        <f>SUM(I146)</f>
        <v>250000</v>
      </c>
      <c r="J145" s="12">
        <f>SUM(J146:J147)</f>
        <v>161511</v>
      </c>
      <c r="K145" s="281">
        <f t="shared" si="10"/>
        <v>0.64604399999999995</v>
      </c>
    </row>
    <row r="146" spans="1:11" x14ac:dyDescent="0.25">
      <c r="C146" s="11" t="s">
        <v>196</v>
      </c>
      <c r="D146" s="11" t="s">
        <v>197</v>
      </c>
      <c r="F146" s="104"/>
      <c r="G146" s="104"/>
      <c r="H146" s="106">
        <v>250000</v>
      </c>
      <c r="I146" s="106">
        <v>250000</v>
      </c>
      <c r="J146" s="106">
        <v>161509</v>
      </c>
      <c r="K146" s="281">
        <f t="shared" si="10"/>
        <v>0.64603600000000005</v>
      </c>
    </row>
    <row r="147" spans="1:11" x14ac:dyDescent="0.25">
      <c r="C147" s="11" t="s">
        <v>200</v>
      </c>
      <c r="D147" s="11" t="s">
        <v>362</v>
      </c>
      <c r="F147" s="104"/>
      <c r="G147" s="104"/>
      <c r="H147" s="106">
        <v>0</v>
      </c>
      <c r="I147" s="106">
        <v>0</v>
      </c>
      <c r="J147" s="106">
        <v>2</v>
      </c>
      <c r="K147" s="281" t="s">
        <v>363</v>
      </c>
    </row>
    <row r="148" spans="1:11" s="9" customFormat="1" ht="28.15" customHeight="1" x14ac:dyDescent="0.25">
      <c r="A148" s="44" t="s">
        <v>126</v>
      </c>
      <c r="B148" s="34"/>
      <c r="C148" s="34"/>
      <c r="D148" s="34"/>
      <c r="E148" s="34"/>
      <c r="F148" s="117"/>
      <c r="G148" s="124">
        <v>4</v>
      </c>
      <c r="H148" s="118">
        <f>SUM(H149+H153)</f>
        <v>4349875.4000000004</v>
      </c>
      <c r="I148" s="118">
        <f>SUM(I149+I153+I155)</f>
        <v>4349875.4000000004</v>
      </c>
      <c r="J148" s="118">
        <f>SUM(J149+J153+J155)</f>
        <v>3937146</v>
      </c>
      <c r="K148" s="247">
        <f>J148/I148</f>
        <v>0.90511696036166911</v>
      </c>
    </row>
    <row r="149" spans="1:11" s="9" customFormat="1" x14ac:dyDescent="0.25">
      <c r="A149" s="9" t="s">
        <v>22</v>
      </c>
      <c r="B149" s="13" t="s">
        <v>150</v>
      </c>
      <c r="C149" s="13"/>
      <c r="D149" s="13"/>
      <c r="E149" s="13"/>
      <c r="F149" s="102"/>
      <c r="G149" s="102"/>
      <c r="H149" s="103">
        <f>SUM(H150)</f>
        <v>3963440</v>
      </c>
      <c r="I149" s="103">
        <f>SUM(I150)</f>
        <v>3963440</v>
      </c>
      <c r="J149" s="103">
        <f>SUM(J150)</f>
        <v>3494141</v>
      </c>
      <c r="K149" s="246">
        <f>J149/I149</f>
        <v>0.88159301011242763</v>
      </c>
    </row>
    <row r="150" spans="1:11" x14ac:dyDescent="0.25">
      <c r="B150" s="11" t="s">
        <v>151</v>
      </c>
      <c r="D150" s="11" t="s">
        <v>152</v>
      </c>
      <c r="F150" s="104"/>
      <c r="G150" s="104"/>
      <c r="H150" s="105">
        <f>SUM(H151:H152)</f>
        <v>3963440</v>
      </c>
      <c r="I150" s="105">
        <f>SUM(I151:I152)</f>
        <v>3963440</v>
      </c>
      <c r="J150" s="105">
        <f>SUM(J151:J152)</f>
        <v>3494141</v>
      </c>
      <c r="K150" s="281">
        <f t="shared" ref="K150:K154" si="11">J150/I150</f>
        <v>0.88159301011242763</v>
      </c>
    </row>
    <row r="151" spans="1:11" x14ac:dyDescent="0.25">
      <c r="C151" s="11" t="s">
        <v>153</v>
      </c>
      <c r="D151" s="11" t="s">
        <v>154</v>
      </c>
      <c r="F151" s="104"/>
      <c r="G151" s="104"/>
      <c r="H151" s="106">
        <f>81530*4*12</f>
        <v>3913440</v>
      </c>
      <c r="I151" s="106">
        <f>81530*4*12</f>
        <v>3913440</v>
      </c>
      <c r="J151" s="106">
        <v>3494141</v>
      </c>
      <c r="K151" s="281">
        <f t="shared" si="11"/>
        <v>0.89285666830205646</v>
      </c>
    </row>
    <row r="152" spans="1:11" x14ac:dyDescent="0.25">
      <c r="C152" s="11" t="s">
        <v>159</v>
      </c>
      <c r="D152" s="11" t="s">
        <v>160</v>
      </c>
      <c r="F152" s="104"/>
      <c r="G152" s="104"/>
      <c r="H152" s="106">
        <v>50000</v>
      </c>
      <c r="I152" s="106">
        <v>50000</v>
      </c>
      <c r="J152" s="106">
        <v>0</v>
      </c>
      <c r="K152" s="281">
        <f t="shared" si="11"/>
        <v>0</v>
      </c>
    </row>
    <row r="153" spans="1:11" s="9" customFormat="1" ht="15.75" customHeight="1" x14ac:dyDescent="0.25">
      <c r="A153" s="9" t="s">
        <v>24</v>
      </c>
      <c r="B153" s="9" t="s">
        <v>166</v>
      </c>
      <c r="F153" s="107"/>
      <c r="G153" s="108"/>
      <c r="H153" s="103">
        <f>SUM(H154)</f>
        <v>386435.4</v>
      </c>
      <c r="I153" s="103">
        <f>SUM(I154)</f>
        <v>386435.4</v>
      </c>
      <c r="J153" s="103">
        <f>SUM(J154)</f>
        <v>332445</v>
      </c>
      <c r="K153" s="246">
        <f t="shared" si="11"/>
        <v>0.86028609180214854</v>
      </c>
    </row>
    <row r="154" spans="1:11" x14ac:dyDescent="0.25">
      <c r="D154" s="11" t="s">
        <v>167</v>
      </c>
      <c r="F154" s="104"/>
      <c r="G154" s="104"/>
      <c r="H154" s="106">
        <f>H150*0.195/2</f>
        <v>386435.4</v>
      </c>
      <c r="I154" s="106">
        <f>I150*0.195/2</f>
        <v>386435.4</v>
      </c>
      <c r="J154" s="106">
        <v>332445</v>
      </c>
      <c r="K154" s="281">
        <f t="shared" si="11"/>
        <v>0.86028609180214854</v>
      </c>
    </row>
    <row r="155" spans="1:11" s="9" customFormat="1" ht="19.899999999999999" customHeight="1" x14ac:dyDescent="0.25">
      <c r="A155" s="9" t="s">
        <v>26</v>
      </c>
      <c r="B155" s="9" t="s">
        <v>27</v>
      </c>
      <c r="F155" s="107"/>
      <c r="G155" s="102"/>
      <c r="H155" s="10">
        <f>SUM(H156:H159)</f>
        <v>0</v>
      </c>
      <c r="I155" s="10">
        <f>I156+I158</f>
        <v>0</v>
      </c>
      <c r="J155" s="10">
        <f>J156+J158</f>
        <v>110560</v>
      </c>
      <c r="K155" s="281" t="s">
        <v>363</v>
      </c>
    </row>
    <row r="156" spans="1:11" s="9" customFormat="1" x14ac:dyDescent="0.25">
      <c r="A156" s="4"/>
      <c r="B156" s="11" t="s">
        <v>168</v>
      </c>
      <c r="C156" s="11"/>
      <c r="D156" s="11" t="s">
        <v>169</v>
      </c>
      <c r="E156" s="11"/>
      <c r="F156" s="109"/>
      <c r="G156" s="109"/>
      <c r="H156" s="12">
        <v>0</v>
      </c>
      <c r="I156" s="12">
        <f>I157</f>
        <v>0</v>
      </c>
      <c r="J156" s="12">
        <f>J157</f>
        <v>87055</v>
      </c>
      <c r="K156" s="246" t="s">
        <v>363</v>
      </c>
    </row>
    <row r="157" spans="1:11" x14ac:dyDescent="0.25">
      <c r="C157" s="11" t="s">
        <v>173</v>
      </c>
      <c r="D157" s="11" t="s">
        <v>240</v>
      </c>
      <c r="F157" s="104"/>
      <c r="G157" s="104"/>
      <c r="H157" s="106">
        <v>0</v>
      </c>
      <c r="I157" s="106">
        <v>0</v>
      </c>
      <c r="J157" s="106">
        <v>87055</v>
      </c>
      <c r="K157" s="246" t="s">
        <v>363</v>
      </c>
    </row>
    <row r="158" spans="1:11" x14ac:dyDescent="0.25">
      <c r="B158" s="11" t="s">
        <v>194</v>
      </c>
      <c r="D158" s="11" t="s">
        <v>195</v>
      </c>
      <c r="F158" s="104"/>
      <c r="G158" s="104"/>
      <c r="H158" s="12">
        <v>0</v>
      </c>
      <c r="I158" s="12">
        <f>SUM(I159)</f>
        <v>0</v>
      </c>
      <c r="J158" s="12">
        <f>SUM(J159)</f>
        <v>23505</v>
      </c>
      <c r="K158" s="246" t="s">
        <v>363</v>
      </c>
    </row>
    <row r="159" spans="1:11" ht="16.899999999999999" customHeight="1" x14ac:dyDescent="0.25">
      <c r="C159" s="11" t="s">
        <v>196</v>
      </c>
      <c r="D159" s="11" t="s">
        <v>197</v>
      </c>
      <c r="F159" s="104"/>
      <c r="G159" s="104"/>
      <c r="H159" s="110">
        <v>0</v>
      </c>
      <c r="I159" s="106">
        <v>0</v>
      </c>
      <c r="J159" s="106">
        <v>23505</v>
      </c>
      <c r="K159" s="246" t="s">
        <v>363</v>
      </c>
    </row>
    <row r="160" spans="1:11" ht="25.15" customHeight="1" x14ac:dyDescent="0.25">
      <c r="A160" s="44" t="s">
        <v>248</v>
      </c>
      <c r="B160" s="34"/>
      <c r="C160" s="34"/>
      <c r="D160" s="34"/>
      <c r="E160" s="34"/>
      <c r="F160" s="117"/>
      <c r="G160" s="117"/>
      <c r="H160" s="118">
        <f t="shared" ref="H160:J162" si="12">SUM(H161)</f>
        <v>147170</v>
      </c>
      <c r="I160" s="118">
        <f t="shared" si="12"/>
        <v>0</v>
      </c>
      <c r="J160" s="118">
        <f t="shared" si="12"/>
        <v>0</v>
      </c>
      <c r="K160" s="283"/>
    </row>
    <row r="161" spans="1:11" ht="19.899999999999999" customHeight="1" x14ac:dyDescent="0.25">
      <c r="A161" s="9" t="s">
        <v>30</v>
      </c>
      <c r="B161" s="9" t="s">
        <v>31</v>
      </c>
      <c r="C161" s="9"/>
      <c r="D161" s="9"/>
      <c r="E161" s="9"/>
      <c r="F161" s="107"/>
      <c r="G161" s="102"/>
      <c r="H161" s="103">
        <f t="shared" si="12"/>
        <v>147170</v>
      </c>
      <c r="I161" s="103">
        <f t="shared" si="12"/>
        <v>0</v>
      </c>
      <c r="J161" s="103">
        <f t="shared" si="12"/>
        <v>0</v>
      </c>
      <c r="K161" s="105" t="s">
        <v>363</v>
      </c>
    </row>
    <row r="162" spans="1:11" s="9" customFormat="1" ht="18" customHeight="1" x14ac:dyDescent="0.25">
      <c r="A162" s="4"/>
      <c r="B162" s="11"/>
      <c r="C162" s="11" t="s">
        <v>202</v>
      </c>
      <c r="D162" s="11" t="s">
        <v>203</v>
      </c>
      <c r="E162" s="11"/>
      <c r="F162" s="104"/>
      <c r="G162" s="104"/>
      <c r="H162" s="106">
        <f t="shared" si="12"/>
        <v>147170</v>
      </c>
      <c r="I162" s="106">
        <f t="shared" si="12"/>
        <v>0</v>
      </c>
      <c r="J162" s="106">
        <f t="shared" si="12"/>
        <v>0</v>
      </c>
      <c r="K162" s="103" t="s">
        <v>363</v>
      </c>
    </row>
    <row r="163" spans="1:11" s="9" customFormat="1" ht="19.899999999999999" customHeight="1" x14ac:dyDescent="0.25">
      <c r="A163" s="4"/>
      <c r="B163" s="11"/>
      <c r="C163" s="11"/>
      <c r="D163" s="11"/>
      <c r="E163" s="11"/>
      <c r="F163" s="104" t="s">
        <v>205</v>
      </c>
      <c r="G163" s="104"/>
      <c r="H163" s="110">
        <v>147170</v>
      </c>
      <c r="I163" s="110">
        <v>0</v>
      </c>
      <c r="J163" s="110">
        <v>0</v>
      </c>
      <c r="K163" s="103" t="s">
        <v>363</v>
      </c>
    </row>
    <row r="164" spans="1:11" s="9" customFormat="1" ht="23.45" customHeight="1" x14ac:dyDescent="0.25">
      <c r="A164" s="34" t="s">
        <v>249</v>
      </c>
      <c r="B164" s="34"/>
      <c r="C164" s="34"/>
      <c r="D164" s="34"/>
      <c r="E164" s="34"/>
      <c r="F164" s="117"/>
      <c r="G164" s="117"/>
      <c r="H164" s="118">
        <f>SUM(H165)</f>
        <v>43000</v>
      </c>
      <c r="I164" s="118">
        <f>SUM(I165)</f>
        <v>43000</v>
      </c>
      <c r="J164" s="118">
        <f>SUM(J165)</f>
        <v>0</v>
      </c>
      <c r="K164" s="247">
        <f>SUM(K165)</f>
        <v>0</v>
      </c>
    </row>
    <row r="165" spans="1:11" s="9" customFormat="1" ht="19.899999999999999" customHeight="1" x14ac:dyDescent="0.25">
      <c r="A165" s="9" t="s">
        <v>28</v>
      </c>
      <c r="B165" s="9" t="s">
        <v>250</v>
      </c>
      <c r="F165" s="107"/>
      <c r="G165" s="38"/>
      <c r="H165" s="41">
        <f>H166</f>
        <v>43000</v>
      </c>
      <c r="I165" s="41">
        <f>I166</f>
        <v>43000</v>
      </c>
      <c r="J165" s="41">
        <f>J166</f>
        <v>0</v>
      </c>
      <c r="K165" s="278">
        <f>J165/I165</f>
        <v>0</v>
      </c>
    </row>
    <row r="166" spans="1:11" s="9" customFormat="1" ht="14.45" customHeight="1" x14ac:dyDescent="0.25">
      <c r="A166" s="4"/>
      <c r="B166" s="11"/>
      <c r="C166" s="11" t="s">
        <v>251</v>
      </c>
      <c r="D166" s="11" t="s">
        <v>252</v>
      </c>
      <c r="E166" s="11"/>
      <c r="F166" s="11"/>
      <c r="G166" s="38"/>
      <c r="H166" s="37">
        <v>43000</v>
      </c>
      <c r="I166" s="37">
        <f>I167</f>
        <v>43000</v>
      </c>
      <c r="J166" s="37">
        <v>0</v>
      </c>
      <c r="K166" s="284">
        <f t="shared" ref="K166:K167" si="13">J166/I166</f>
        <v>0</v>
      </c>
    </row>
    <row r="167" spans="1:11" s="9" customFormat="1" ht="14.45" customHeight="1" x14ac:dyDescent="0.25">
      <c r="A167" s="4"/>
      <c r="B167" s="11"/>
      <c r="C167" s="11"/>
      <c r="D167" s="11"/>
      <c r="E167" s="11"/>
      <c r="F167" s="11" t="s">
        <v>253</v>
      </c>
      <c r="G167" s="38"/>
      <c r="H167" s="37">
        <v>43000</v>
      </c>
      <c r="I167" s="37">
        <v>43000</v>
      </c>
      <c r="J167" s="37">
        <v>0</v>
      </c>
      <c r="K167" s="284">
        <f t="shared" si="13"/>
        <v>0</v>
      </c>
    </row>
    <row r="168" spans="1:11" s="9" customFormat="1" ht="21" customHeight="1" x14ac:dyDescent="0.25">
      <c r="A168" s="44" t="s">
        <v>254</v>
      </c>
      <c r="B168" s="34"/>
      <c r="C168" s="34"/>
      <c r="D168" s="34"/>
      <c r="E168" s="34"/>
      <c r="F168" s="117"/>
      <c r="G168" s="117"/>
      <c r="H168" s="123">
        <f>SUM(H169,H176)</f>
        <v>6169197</v>
      </c>
      <c r="I168" s="123">
        <f>SUM(I169,I176)</f>
        <v>5427264</v>
      </c>
      <c r="J168" s="123">
        <f>SUM(J169,J176)</f>
        <v>4236527</v>
      </c>
      <c r="K168" s="252">
        <f>J168/I168</f>
        <v>0.78060086997794842</v>
      </c>
    </row>
    <row r="169" spans="1:11" x14ac:dyDescent="0.25">
      <c r="A169" s="9" t="s">
        <v>26</v>
      </c>
      <c r="B169" s="9" t="s">
        <v>27</v>
      </c>
      <c r="C169" s="9"/>
      <c r="D169" s="9"/>
      <c r="E169" s="9"/>
      <c r="F169" s="107"/>
      <c r="G169" s="102"/>
      <c r="H169" s="103">
        <f>H170+H174</f>
        <v>3297197</v>
      </c>
      <c r="I169" s="103">
        <f>I170++I172+I174</f>
        <v>2157197</v>
      </c>
      <c r="J169" s="103">
        <f>J170++J172+J174</f>
        <v>1493460</v>
      </c>
      <c r="K169" s="279">
        <f>J169/I169</f>
        <v>0.69231507368126322</v>
      </c>
    </row>
    <row r="170" spans="1:11" x14ac:dyDescent="0.25">
      <c r="B170" s="11" t="s">
        <v>168</v>
      </c>
      <c r="D170" s="11" t="s">
        <v>169</v>
      </c>
      <c r="F170" s="104"/>
      <c r="G170" s="104"/>
      <c r="H170" s="106">
        <f>H171</f>
        <v>2600000</v>
      </c>
      <c r="I170" s="106">
        <f>I171</f>
        <v>1346000</v>
      </c>
      <c r="J170" s="106">
        <f>J171</f>
        <v>1061955</v>
      </c>
      <c r="K170" s="280">
        <f>J170/I170</f>
        <v>0.78897102526002971</v>
      </c>
    </row>
    <row r="171" spans="1:11" ht="16.899999999999999" customHeight="1" x14ac:dyDescent="0.25">
      <c r="C171" s="11" t="s">
        <v>173</v>
      </c>
      <c r="D171" s="11" t="s">
        <v>174</v>
      </c>
      <c r="F171" s="104"/>
      <c r="G171" s="104"/>
      <c r="H171" s="106">
        <v>2600000</v>
      </c>
      <c r="I171" s="106">
        <v>1346000</v>
      </c>
      <c r="J171" s="106">
        <v>1061955</v>
      </c>
      <c r="K171" s="280">
        <f t="shared" ref="K171:K178" si="14">J171/I171</f>
        <v>0.78897102526002971</v>
      </c>
    </row>
    <row r="172" spans="1:11" ht="16.899999999999999" customHeight="1" x14ac:dyDescent="0.25">
      <c r="B172" s="11" t="s">
        <v>181</v>
      </c>
      <c r="D172" s="11" t="s">
        <v>182</v>
      </c>
      <c r="F172" s="104"/>
      <c r="G172" s="104"/>
      <c r="H172" s="12">
        <f>H173</f>
        <v>0</v>
      </c>
      <c r="I172" s="12">
        <f>I173</f>
        <v>114000</v>
      </c>
      <c r="J172" s="12">
        <f>J173</f>
        <v>114000</v>
      </c>
      <c r="K172" s="280">
        <f t="shared" si="14"/>
        <v>1</v>
      </c>
    </row>
    <row r="173" spans="1:11" ht="16.149999999999999" customHeight="1" x14ac:dyDescent="0.25">
      <c r="C173" s="11" t="s">
        <v>187</v>
      </c>
      <c r="D173" s="11" t="s">
        <v>188</v>
      </c>
      <c r="F173" s="104"/>
      <c r="G173" s="104"/>
      <c r="H173" s="106">
        <v>0</v>
      </c>
      <c r="I173" s="106">
        <v>114000</v>
      </c>
      <c r="J173" s="106">
        <v>114000</v>
      </c>
      <c r="K173" s="280">
        <f t="shared" si="14"/>
        <v>1</v>
      </c>
    </row>
    <row r="174" spans="1:11" x14ac:dyDescent="0.25">
      <c r="B174" s="11" t="s">
        <v>194</v>
      </c>
      <c r="D174" s="11" t="s">
        <v>195</v>
      </c>
      <c r="F174" s="104"/>
      <c r="G174" s="104"/>
      <c r="H174" s="106">
        <f>H175</f>
        <v>697197</v>
      </c>
      <c r="I174" s="105">
        <f>I175</f>
        <v>697197</v>
      </c>
      <c r="J174" s="105">
        <f>J175</f>
        <v>317505</v>
      </c>
      <c r="K174" s="280">
        <f t="shared" si="14"/>
        <v>0.45540213167870774</v>
      </c>
    </row>
    <row r="175" spans="1:11" x14ac:dyDescent="0.25">
      <c r="C175" s="11" t="s">
        <v>196</v>
      </c>
      <c r="D175" s="11" t="s">
        <v>197</v>
      </c>
      <c r="F175" s="104"/>
      <c r="G175" s="104"/>
      <c r="H175" s="106">
        <v>697197</v>
      </c>
      <c r="I175" s="106">
        <v>697197</v>
      </c>
      <c r="J175" s="106">
        <v>317505</v>
      </c>
      <c r="K175" s="280">
        <f t="shared" si="14"/>
        <v>0.45540213167870774</v>
      </c>
    </row>
    <row r="176" spans="1:11" x14ac:dyDescent="0.25">
      <c r="A176" s="9" t="s">
        <v>28</v>
      </c>
      <c r="B176" s="9" t="s">
        <v>250</v>
      </c>
      <c r="C176" s="9"/>
      <c r="D176" s="9"/>
      <c r="E176" s="9"/>
      <c r="F176" s="107"/>
      <c r="G176" s="126"/>
      <c r="H176" s="10">
        <f>SUM(H177)</f>
        <v>2872000</v>
      </c>
      <c r="I176" s="10">
        <f>SUM(I177)</f>
        <v>3270067</v>
      </c>
      <c r="J176" s="10">
        <f>SUM(J177)</f>
        <v>2743067</v>
      </c>
      <c r="K176" s="279">
        <f t="shared" si="14"/>
        <v>0.83884122251929394</v>
      </c>
    </row>
    <row r="177" spans="1:11" x14ac:dyDescent="0.25">
      <c r="B177" s="11" t="s">
        <v>255</v>
      </c>
      <c r="D177" s="11" t="s">
        <v>252</v>
      </c>
      <c r="F177" s="104"/>
      <c r="G177" s="110"/>
      <c r="H177" s="106">
        <f>SUM(H178:H178)</f>
        <v>2872000</v>
      </c>
      <c r="I177" s="106">
        <f>SUM(I178:I178)</f>
        <v>3270067</v>
      </c>
      <c r="J177" s="106">
        <f>SUM(J178:J178)</f>
        <v>2743067</v>
      </c>
      <c r="K177" s="280">
        <f t="shared" si="14"/>
        <v>0.83884122251929394</v>
      </c>
    </row>
    <row r="178" spans="1:11" x14ac:dyDescent="0.25">
      <c r="F178" s="104" t="s">
        <v>256</v>
      </c>
      <c r="G178" s="110"/>
      <c r="H178" s="106">
        <v>2872000</v>
      </c>
      <c r="I178" s="106">
        <v>3270067</v>
      </c>
      <c r="J178" s="106">
        <f>2737067+6000</f>
        <v>2743067</v>
      </c>
      <c r="K178" s="280">
        <f t="shared" si="14"/>
        <v>0.83884122251929394</v>
      </c>
    </row>
    <row r="179" spans="1:11" ht="24.6" customHeight="1" x14ac:dyDescent="0.25">
      <c r="A179" s="44" t="s">
        <v>257</v>
      </c>
      <c r="B179" s="34"/>
      <c r="C179" s="34"/>
      <c r="D179" s="34"/>
      <c r="E179" s="34"/>
      <c r="F179" s="117"/>
      <c r="G179" s="117"/>
      <c r="H179" s="118">
        <f>SUM(H180)</f>
        <v>0</v>
      </c>
      <c r="I179" s="118">
        <f>SUM(I180)</f>
        <v>36000</v>
      </c>
      <c r="J179" s="118">
        <f>SUM(J180)</f>
        <v>39600</v>
      </c>
      <c r="K179" s="247">
        <f>J179/I179</f>
        <v>1.1000000000000001</v>
      </c>
    </row>
    <row r="180" spans="1:11" x14ac:dyDescent="0.25">
      <c r="A180" s="9" t="s">
        <v>26</v>
      </c>
      <c r="B180" s="9" t="s">
        <v>27</v>
      </c>
      <c r="C180" s="9"/>
      <c r="D180" s="9"/>
      <c r="E180" s="9"/>
      <c r="F180" s="107"/>
      <c r="G180" s="102"/>
      <c r="H180" s="103">
        <f>SUM(H181,H183,H186)</f>
        <v>0</v>
      </c>
      <c r="I180" s="103">
        <f>SUM(I181,I183,I186)</f>
        <v>36000</v>
      </c>
      <c r="J180" s="103">
        <f>SUM(J181,J183,J186)</f>
        <v>39600</v>
      </c>
      <c r="K180" s="246">
        <f>J180/I180</f>
        <v>1.1000000000000001</v>
      </c>
    </row>
    <row r="181" spans="1:11" x14ac:dyDescent="0.25">
      <c r="B181" s="11" t="s">
        <v>168</v>
      </c>
      <c r="D181" s="11" t="s">
        <v>169</v>
      </c>
      <c r="F181" s="104"/>
      <c r="G181" s="104"/>
      <c r="H181" s="105">
        <v>0</v>
      </c>
      <c r="I181" s="105">
        <f>I182</f>
        <v>28346</v>
      </c>
      <c r="J181" s="105">
        <f>J182</f>
        <v>28346</v>
      </c>
      <c r="K181" s="281">
        <f t="shared" ref="K181:K187" si="15">J181/I181</f>
        <v>1</v>
      </c>
    </row>
    <row r="182" spans="1:11" s="9" customFormat="1" ht="18.600000000000001" customHeight="1" x14ac:dyDescent="0.25">
      <c r="A182" s="4"/>
      <c r="B182" s="11"/>
      <c r="C182" s="11" t="s">
        <v>173</v>
      </c>
      <c r="D182" s="11" t="s">
        <v>174</v>
      </c>
      <c r="E182" s="11"/>
      <c r="F182" s="104"/>
      <c r="G182" s="104"/>
      <c r="H182" s="106">
        <v>0</v>
      </c>
      <c r="I182" s="106">
        <v>28346</v>
      </c>
      <c r="J182" s="106">
        <v>28346</v>
      </c>
      <c r="K182" s="281">
        <f t="shared" si="15"/>
        <v>1</v>
      </c>
    </row>
    <row r="183" spans="1:11" s="9" customFormat="1" x14ac:dyDescent="0.25">
      <c r="A183" s="4"/>
      <c r="B183" s="11" t="s">
        <v>181</v>
      </c>
      <c r="C183" s="11"/>
      <c r="D183" s="11" t="s">
        <v>182</v>
      </c>
      <c r="E183" s="11"/>
      <c r="F183" s="11"/>
      <c r="G183" s="104"/>
      <c r="H183" s="105">
        <v>0</v>
      </c>
      <c r="I183" s="105">
        <v>0</v>
      </c>
      <c r="J183" s="105">
        <f>J184</f>
        <v>3600</v>
      </c>
      <c r="K183" s="281" t="s">
        <v>363</v>
      </c>
    </row>
    <row r="184" spans="1:11" x14ac:dyDescent="0.25">
      <c r="C184" s="11" t="s">
        <v>187</v>
      </c>
      <c r="D184" s="11" t="s">
        <v>188</v>
      </c>
      <c r="F184" s="104"/>
      <c r="G184" s="104"/>
      <c r="H184" s="106">
        <v>0</v>
      </c>
      <c r="I184" s="106">
        <f>I185</f>
        <v>0</v>
      </c>
      <c r="J184" s="106">
        <v>3600</v>
      </c>
      <c r="K184" s="281" t="s">
        <v>363</v>
      </c>
    </row>
    <row r="185" spans="1:11" x14ac:dyDescent="0.25">
      <c r="F185" s="104" t="s">
        <v>224</v>
      </c>
      <c r="G185" s="104"/>
      <c r="H185" s="106">
        <v>0</v>
      </c>
      <c r="I185" s="106">
        <v>0</v>
      </c>
      <c r="J185" s="106">
        <v>3600</v>
      </c>
      <c r="K185" s="281" t="s">
        <v>363</v>
      </c>
    </row>
    <row r="186" spans="1:11" x14ac:dyDescent="0.25">
      <c r="B186" s="11" t="s">
        <v>194</v>
      </c>
      <c r="D186" s="11" t="s">
        <v>195</v>
      </c>
      <c r="F186" s="104"/>
      <c r="G186" s="104"/>
      <c r="H186" s="105">
        <f>SUM(H187)</f>
        <v>0</v>
      </c>
      <c r="I186" s="105">
        <f>SUM(I187)</f>
        <v>7654</v>
      </c>
      <c r="J186" s="105">
        <f>SUM(J187)</f>
        <v>7654</v>
      </c>
      <c r="K186" s="281">
        <f t="shared" si="15"/>
        <v>1</v>
      </c>
    </row>
    <row r="187" spans="1:11" x14ac:dyDescent="0.25">
      <c r="C187" s="11" t="s">
        <v>196</v>
      </c>
      <c r="D187" s="11" t="s">
        <v>197</v>
      </c>
      <c r="F187" s="104"/>
      <c r="G187" s="104"/>
      <c r="H187" s="106">
        <v>0</v>
      </c>
      <c r="I187" s="106">
        <v>7654</v>
      </c>
      <c r="J187" s="106">
        <v>7654</v>
      </c>
      <c r="K187" s="281">
        <f t="shared" si="15"/>
        <v>1</v>
      </c>
    </row>
    <row r="188" spans="1:11" ht="26.45" customHeight="1" x14ac:dyDescent="0.25">
      <c r="A188" s="44" t="s">
        <v>258</v>
      </c>
      <c r="B188" s="34"/>
      <c r="C188" s="34"/>
      <c r="D188" s="34"/>
      <c r="E188" s="34"/>
      <c r="F188" s="117"/>
      <c r="G188" s="117"/>
      <c r="H188" s="123">
        <f>SUM(H189)</f>
        <v>130000</v>
      </c>
      <c r="I188" s="123">
        <f>SUM(I189)</f>
        <v>130000</v>
      </c>
      <c r="J188" s="123">
        <f>SUM(J189)</f>
        <v>53756</v>
      </c>
      <c r="K188" s="252">
        <f>J188/I188</f>
        <v>0.4135076923076923</v>
      </c>
    </row>
    <row r="189" spans="1:11" x14ac:dyDescent="0.25">
      <c r="A189" s="9" t="s">
        <v>26</v>
      </c>
      <c r="B189" s="9" t="s">
        <v>27</v>
      </c>
      <c r="C189" s="9"/>
      <c r="D189" s="9"/>
      <c r="E189" s="9"/>
      <c r="F189" s="107"/>
      <c r="G189" s="102"/>
      <c r="H189" s="103">
        <f>SUM(H193+H200+H196+H190)</f>
        <v>130000</v>
      </c>
      <c r="I189" s="103">
        <f>SUM(I193+I200+I196+I190)</f>
        <v>130000</v>
      </c>
      <c r="J189" s="103">
        <f>SUM(J193+J200+J196+J190)</f>
        <v>53756</v>
      </c>
      <c r="K189" s="246">
        <f>J189/I189</f>
        <v>0.4135076923076923</v>
      </c>
    </row>
    <row r="190" spans="1:11" x14ac:dyDescent="0.25">
      <c r="B190" s="11" t="s">
        <v>168</v>
      </c>
      <c r="D190" s="11" t="s">
        <v>169</v>
      </c>
      <c r="F190" s="109"/>
      <c r="G190" s="109"/>
      <c r="H190" s="12">
        <f>SUM(H191)</f>
        <v>10000</v>
      </c>
      <c r="I190" s="12">
        <f>SUM(I191)</f>
        <v>10000</v>
      </c>
      <c r="J190" s="12">
        <f>SUM(J191)</f>
        <v>0</v>
      </c>
      <c r="K190" s="281">
        <f t="shared" ref="K190:K201" si="16">J190/I190</f>
        <v>0</v>
      </c>
    </row>
    <row r="191" spans="1:11" x14ac:dyDescent="0.25">
      <c r="C191" s="11" t="s">
        <v>173</v>
      </c>
      <c r="D191" s="11" t="s">
        <v>240</v>
      </c>
      <c r="F191" s="104"/>
      <c r="G191" s="104"/>
      <c r="H191" s="106">
        <f>SUM(H192:H192)</f>
        <v>10000</v>
      </c>
      <c r="I191" s="106">
        <f>SUM(I192:I192)</f>
        <v>10000</v>
      </c>
      <c r="J191" s="106">
        <v>0</v>
      </c>
      <c r="K191" s="281">
        <f t="shared" si="16"/>
        <v>0</v>
      </c>
    </row>
    <row r="192" spans="1:11" x14ac:dyDescent="0.25">
      <c r="A192" s="9"/>
      <c r="B192" s="13"/>
      <c r="C192" s="13"/>
      <c r="D192" s="122"/>
      <c r="E192" s="122"/>
      <c r="F192" s="104" t="s">
        <v>236</v>
      </c>
      <c r="G192" s="104"/>
      <c r="H192" s="106">
        <v>10000</v>
      </c>
      <c r="I192" s="106">
        <v>10000</v>
      </c>
      <c r="J192" s="106">
        <v>0</v>
      </c>
      <c r="K192" s="281">
        <f t="shared" si="16"/>
        <v>0</v>
      </c>
    </row>
    <row r="193" spans="1:11" x14ac:dyDescent="0.25">
      <c r="B193" s="11" t="s">
        <v>175</v>
      </c>
      <c r="D193" s="11" t="s">
        <v>176</v>
      </c>
      <c r="F193" s="104"/>
      <c r="G193" s="104"/>
      <c r="H193" s="105">
        <f>SUM(H194)</f>
        <v>50000</v>
      </c>
      <c r="I193" s="105">
        <f>SUM(I194)</f>
        <v>50000</v>
      </c>
      <c r="J193" s="105">
        <f>SUM(J194)</f>
        <v>47112</v>
      </c>
      <c r="K193" s="281">
        <f t="shared" si="16"/>
        <v>0.94223999999999997</v>
      </c>
    </row>
    <row r="194" spans="1:11" x14ac:dyDescent="0.25">
      <c r="C194" s="11" t="s">
        <v>177</v>
      </c>
      <c r="D194" s="11" t="s">
        <v>178</v>
      </c>
      <c r="F194" s="104"/>
      <c r="G194" s="104"/>
      <c r="H194" s="106">
        <f>SUM(H195:H195)</f>
        <v>50000</v>
      </c>
      <c r="I194" s="106">
        <f>SUM(I195:I195)</f>
        <v>50000</v>
      </c>
      <c r="J194" s="106">
        <f>SUM(J195:J195)</f>
        <v>47112</v>
      </c>
      <c r="K194" s="281">
        <f t="shared" si="16"/>
        <v>0.94223999999999997</v>
      </c>
    </row>
    <row r="195" spans="1:11" x14ac:dyDescent="0.25">
      <c r="F195" s="104" t="s">
        <v>259</v>
      </c>
      <c r="G195" s="104"/>
      <c r="H195" s="106">
        <v>50000</v>
      </c>
      <c r="I195" s="106">
        <v>50000</v>
      </c>
      <c r="J195" s="106">
        <v>47112</v>
      </c>
      <c r="K195" s="281">
        <f t="shared" si="16"/>
        <v>0.94223999999999997</v>
      </c>
    </row>
    <row r="196" spans="1:11" s="9" customFormat="1" ht="16.149999999999999" customHeight="1" x14ac:dyDescent="0.25">
      <c r="A196" s="4"/>
      <c r="B196" s="11" t="s">
        <v>181</v>
      </c>
      <c r="C196" s="11"/>
      <c r="D196" s="11" t="s">
        <v>182</v>
      </c>
      <c r="E196" s="11"/>
      <c r="F196" s="104"/>
      <c r="G196" s="104"/>
      <c r="H196" s="12">
        <f>SUM(H197+H198)</f>
        <v>45000</v>
      </c>
      <c r="I196" s="12">
        <f>SUM(I197+I198)</f>
        <v>45000</v>
      </c>
      <c r="J196" s="12">
        <f>SUM(J197+J198)</f>
        <v>3375</v>
      </c>
      <c r="K196" s="281">
        <f t="shared" si="16"/>
        <v>7.4999999999999997E-2</v>
      </c>
    </row>
    <row r="197" spans="1:11" s="9" customFormat="1" x14ac:dyDescent="0.25">
      <c r="A197" s="4"/>
      <c r="B197" s="11"/>
      <c r="C197" s="11" t="s">
        <v>185</v>
      </c>
      <c r="D197" s="11" t="s">
        <v>186</v>
      </c>
      <c r="E197" s="11"/>
      <c r="F197" s="104"/>
      <c r="G197" s="104"/>
      <c r="H197" s="106">
        <v>40000</v>
      </c>
      <c r="I197" s="106">
        <v>40000</v>
      </c>
      <c r="J197" s="106">
        <v>0</v>
      </c>
      <c r="K197" s="281">
        <f t="shared" si="16"/>
        <v>0</v>
      </c>
    </row>
    <row r="198" spans="1:11" x14ac:dyDescent="0.25">
      <c r="C198" s="11" t="s">
        <v>187</v>
      </c>
      <c r="D198" s="11" t="s">
        <v>188</v>
      </c>
      <c r="F198" s="104"/>
      <c r="G198" s="104"/>
      <c r="H198" s="128">
        <v>5000</v>
      </c>
      <c r="I198" s="128">
        <v>5000</v>
      </c>
      <c r="J198" s="128">
        <f>J199</f>
        <v>3375</v>
      </c>
      <c r="K198" s="281">
        <f t="shared" si="16"/>
        <v>0.67500000000000004</v>
      </c>
    </row>
    <row r="199" spans="1:11" x14ac:dyDescent="0.25">
      <c r="F199" s="104" t="s">
        <v>224</v>
      </c>
      <c r="G199" s="104"/>
      <c r="H199" s="106">
        <v>5000</v>
      </c>
      <c r="I199" s="106">
        <v>5000</v>
      </c>
      <c r="J199" s="106">
        <v>3375</v>
      </c>
      <c r="K199" s="281">
        <f t="shared" si="16"/>
        <v>0.67500000000000004</v>
      </c>
    </row>
    <row r="200" spans="1:11" x14ac:dyDescent="0.25">
      <c r="B200" s="11" t="s">
        <v>194</v>
      </c>
      <c r="D200" s="11" t="s">
        <v>195</v>
      </c>
      <c r="F200" s="104"/>
      <c r="G200" s="104"/>
      <c r="H200" s="105">
        <f>SUM(H201)</f>
        <v>25000</v>
      </c>
      <c r="I200" s="105">
        <f>SUM(I201)</f>
        <v>25000</v>
      </c>
      <c r="J200" s="105">
        <f>SUM(J201)</f>
        <v>3269</v>
      </c>
      <c r="K200" s="281">
        <f t="shared" si="16"/>
        <v>0.13075999999999999</v>
      </c>
    </row>
    <row r="201" spans="1:11" x14ac:dyDescent="0.25">
      <c r="C201" s="11" t="s">
        <v>196</v>
      </c>
      <c r="D201" s="11" t="s">
        <v>197</v>
      </c>
      <c r="F201" s="104"/>
      <c r="G201" s="104"/>
      <c r="H201" s="106">
        <v>25000</v>
      </c>
      <c r="I201" s="106">
        <v>25000</v>
      </c>
      <c r="J201" s="106">
        <v>3269</v>
      </c>
      <c r="K201" s="281">
        <f t="shared" si="16"/>
        <v>0.13075999999999999</v>
      </c>
    </row>
    <row r="202" spans="1:11" ht="28.15" customHeight="1" x14ac:dyDescent="0.25">
      <c r="A202" s="44" t="s">
        <v>260</v>
      </c>
      <c r="B202" s="34"/>
      <c r="C202" s="34"/>
      <c r="D202" s="34"/>
      <c r="E202" s="34"/>
      <c r="F202" s="117"/>
      <c r="G202" s="117"/>
      <c r="H202" s="123">
        <f>SUM(H203+H215)</f>
        <v>3800000</v>
      </c>
      <c r="I202" s="123">
        <f>SUM(I203+I215)</f>
        <v>3800000</v>
      </c>
      <c r="J202" s="123">
        <f>SUM(J203+J215)</f>
        <v>3060585</v>
      </c>
      <c r="K202" s="252">
        <f>J202/I202</f>
        <v>0.80541710526315791</v>
      </c>
    </row>
    <row r="203" spans="1:11" x14ac:dyDescent="0.25">
      <c r="A203" s="9" t="s">
        <v>26</v>
      </c>
      <c r="B203" s="9" t="s">
        <v>27</v>
      </c>
      <c r="C203" s="9"/>
      <c r="D203" s="9"/>
      <c r="E203" s="9"/>
      <c r="F203" s="107"/>
      <c r="G203" s="102"/>
      <c r="H203" s="103">
        <f>SUM(H204+H207+H212)</f>
        <v>3800000</v>
      </c>
      <c r="I203" s="103">
        <f>SUM(I204+I207+I212)</f>
        <v>3800000</v>
      </c>
      <c r="J203" s="103">
        <f>SUM(J204+J207+J212)</f>
        <v>3060585</v>
      </c>
      <c r="K203" s="246">
        <f>J203/I203</f>
        <v>0.80541710526315791</v>
      </c>
    </row>
    <row r="204" spans="1:11" x14ac:dyDescent="0.25">
      <c r="B204" s="11" t="s">
        <v>168</v>
      </c>
      <c r="D204" s="11" t="s">
        <v>169</v>
      </c>
      <c r="F204" s="109"/>
      <c r="G204" s="109"/>
      <c r="H204" s="105">
        <f>SUM(+H205)</f>
        <v>1500000</v>
      </c>
      <c r="I204" s="105">
        <f>SUM(+I205)</f>
        <v>1500000</v>
      </c>
      <c r="J204" s="105">
        <f>SUM(+J205)</f>
        <v>1192843</v>
      </c>
      <c r="K204" s="281">
        <f t="shared" ref="K204:K213" si="17">J204/I204</f>
        <v>0.79522866666666669</v>
      </c>
    </row>
    <row r="205" spans="1:11" x14ac:dyDescent="0.25">
      <c r="C205" s="11" t="s">
        <v>173</v>
      </c>
      <c r="D205" s="11" t="s">
        <v>174</v>
      </c>
      <c r="F205" s="104"/>
      <c r="G205" s="104"/>
      <c r="H205" s="106">
        <f>SUM(H206:H206)</f>
        <v>1500000</v>
      </c>
      <c r="I205" s="106">
        <f>SUM(I206:I206)</f>
        <v>1500000</v>
      </c>
      <c r="J205" s="106">
        <f>SUM(J206:J206)</f>
        <v>1192843</v>
      </c>
      <c r="K205" s="281">
        <f t="shared" si="17"/>
        <v>0.79522866666666669</v>
      </c>
    </row>
    <row r="206" spans="1:11" x14ac:dyDescent="0.25">
      <c r="A206" s="9"/>
      <c r="B206" s="13"/>
      <c r="C206" s="13"/>
      <c r="D206" s="122"/>
      <c r="E206" s="122"/>
      <c r="F206" s="104" t="s">
        <v>236</v>
      </c>
      <c r="G206" s="104"/>
      <c r="H206" s="106">
        <v>1500000</v>
      </c>
      <c r="I206" s="106">
        <v>1500000</v>
      </c>
      <c r="J206" s="106">
        <v>1192843</v>
      </c>
      <c r="K206" s="281">
        <f t="shared" si="17"/>
        <v>0.79522866666666669</v>
      </c>
    </row>
    <row r="207" spans="1:11" x14ac:dyDescent="0.25">
      <c r="B207" s="11" t="s">
        <v>181</v>
      </c>
      <c r="D207" s="11" t="s">
        <v>182</v>
      </c>
      <c r="F207" s="104"/>
      <c r="G207" s="104"/>
      <c r="H207" s="105">
        <f>SUM(H208+H209+H210)</f>
        <v>1800000</v>
      </c>
      <c r="I207" s="105">
        <f>SUM(I208+I209+I210)</f>
        <v>1800000</v>
      </c>
      <c r="J207" s="105">
        <f>SUM(J208+J209+J210)</f>
        <v>1380231</v>
      </c>
      <c r="K207" s="281">
        <f t="shared" si="17"/>
        <v>0.766795</v>
      </c>
    </row>
    <row r="208" spans="1:11" s="9" customFormat="1" x14ac:dyDescent="0.25">
      <c r="A208" s="4"/>
      <c r="B208" s="11"/>
      <c r="C208" s="11" t="s">
        <v>183</v>
      </c>
      <c r="D208" s="11" t="s">
        <v>184</v>
      </c>
      <c r="E208" s="11"/>
      <c r="F208" s="104"/>
      <c r="G208" s="104"/>
      <c r="H208" s="106">
        <v>500000</v>
      </c>
      <c r="I208" s="106">
        <v>500000</v>
      </c>
      <c r="J208" s="106">
        <v>535108</v>
      </c>
      <c r="K208" s="281">
        <f t="shared" si="17"/>
        <v>1.0702160000000001</v>
      </c>
    </row>
    <row r="209" spans="1:11" x14ac:dyDescent="0.25">
      <c r="C209" s="11" t="s">
        <v>185</v>
      </c>
      <c r="D209" s="11" t="s">
        <v>186</v>
      </c>
      <c r="F209" s="104"/>
      <c r="G209" s="104"/>
      <c r="H209" s="106">
        <v>300000</v>
      </c>
      <c r="I209" s="106">
        <v>300000</v>
      </c>
      <c r="J209" s="106">
        <v>0</v>
      </c>
      <c r="K209" s="281">
        <f t="shared" si="17"/>
        <v>0</v>
      </c>
    </row>
    <row r="210" spans="1:11" x14ac:dyDescent="0.25">
      <c r="C210" s="11" t="s">
        <v>187</v>
      </c>
      <c r="D210" s="11" t="s">
        <v>188</v>
      </c>
      <c r="F210" s="104"/>
      <c r="G210" s="104"/>
      <c r="H210" s="106">
        <f>H211</f>
        <v>1000000</v>
      </c>
      <c r="I210" s="106">
        <f>I211</f>
        <v>1000000</v>
      </c>
      <c r="J210" s="106">
        <f>J211</f>
        <v>845123</v>
      </c>
      <c r="K210" s="281">
        <f t="shared" si="17"/>
        <v>0.84512299999999996</v>
      </c>
    </row>
    <row r="211" spans="1:11" s="9" customFormat="1" ht="16.899999999999999" customHeight="1" x14ac:dyDescent="0.25">
      <c r="A211" s="4"/>
      <c r="B211" s="11"/>
      <c r="C211" s="11"/>
      <c r="D211" s="11"/>
      <c r="E211" s="11"/>
      <c r="F211" s="104" t="s">
        <v>224</v>
      </c>
      <c r="G211" s="104"/>
      <c r="H211" s="106">
        <v>1000000</v>
      </c>
      <c r="I211" s="106">
        <v>1000000</v>
      </c>
      <c r="J211" s="106">
        <v>845123</v>
      </c>
      <c r="K211" s="281">
        <f t="shared" si="17"/>
        <v>0.84512299999999996</v>
      </c>
    </row>
    <row r="212" spans="1:11" s="9" customFormat="1" x14ac:dyDescent="0.25">
      <c r="A212" s="4"/>
      <c r="B212" s="11" t="s">
        <v>194</v>
      </c>
      <c r="C212" s="11"/>
      <c r="D212" s="11" t="s">
        <v>195</v>
      </c>
      <c r="E212" s="11"/>
      <c r="F212" s="104"/>
      <c r="G212" s="104"/>
      <c r="H212" s="105">
        <f>SUM(H213)</f>
        <v>500000</v>
      </c>
      <c r="I212" s="105">
        <f>SUM(I213)</f>
        <v>500000</v>
      </c>
      <c r="J212" s="105">
        <f>SUM(J213:J214)</f>
        <v>487511</v>
      </c>
      <c r="K212" s="281">
        <f t="shared" si="17"/>
        <v>0.97502200000000006</v>
      </c>
    </row>
    <row r="213" spans="1:11" x14ac:dyDescent="0.25">
      <c r="C213" s="11" t="s">
        <v>196</v>
      </c>
      <c r="D213" s="11" t="s">
        <v>197</v>
      </c>
      <c r="H213" s="37">
        <v>500000</v>
      </c>
      <c r="I213" s="37">
        <v>500000</v>
      </c>
      <c r="J213" s="37">
        <v>487496</v>
      </c>
      <c r="K213" s="281">
        <f t="shared" si="17"/>
        <v>0.97499199999999997</v>
      </c>
    </row>
    <row r="214" spans="1:11" x14ac:dyDescent="0.25">
      <c r="C214" s="11" t="s">
        <v>200</v>
      </c>
      <c r="D214" s="11" t="s">
        <v>201</v>
      </c>
      <c r="H214" s="37">
        <v>0</v>
      </c>
      <c r="I214" s="37">
        <v>0</v>
      </c>
      <c r="J214" s="37">
        <v>15</v>
      </c>
      <c r="K214" s="281"/>
    </row>
    <row r="215" spans="1:11" x14ac:dyDescent="0.25">
      <c r="A215" s="9" t="s">
        <v>35</v>
      </c>
      <c r="B215" s="9" t="s">
        <v>36</v>
      </c>
      <c r="C215" s="9"/>
      <c r="D215" s="9"/>
      <c r="E215" s="9"/>
      <c r="F215" s="107"/>
      <c r="G215" s="121"/>
      <c r="H215" s="103">
        <f>SUM(H216:H217)</f>
        <v>0</v>
      </c>
      <c r="I215" s="103">
        <f>SUM(I216:I217)</f>
        <v>0</v>
      </c>
      <c r="J215" s="103">
        <f>SUM(J216:J217)</f>
        <v>0</v>
      </c>
      <c r="K215" s="281"/>
    </row>
    <row r="216" spans="1:11" s="9" customFormat="1" ht="15.6" customHeight="1" x14ac:dyDescent="0.25">
      <c r="A216" s="4"/>
      <c r="B216" s="11" t="s">
        <v>231</v>
      </c>
      <c r="C216" s="11"/>
      <c r="D216" s="11" t="s">
        <v>261</v>
      </c>
      <c r="E216" s="11"/>
      <c r="F216" s="104"/>
      <c r="G216" s="77"/>
      <c r="H216" s="106">
        <v>0</v>
      </c>
      <c r="I216" s="106">
        <v>0</v>
      </c>
      <c r="J216" s="106">
        <v>0</v>
      </c>
      <c r="K216" s="281"/>
    </row>
    <row r="217" spans="1:11" s="9" customFormat="1" x14ac:dyDescent="0.25">
      <c r="A217" s="4"/>
      <c r="B217" s="11" t="s">
        <v>233</v>
      </c>
      <c r="C217" s="11"/>
      <c r="D217" s="11" t="s">
        <v>234</v>
      </c>
      <c r="E217" s="11"/>
      <c r="F217" s="104"/>
      <c r="G217" s="77"/>
      <c r="H217" s="106">
        <f>H216*0.27</f>
        <v>0</v>
      </c>
      <c r="I217" s="106">
        <f>I216*0.27</f>
        <v>0</v>
      </c>
      <c r="J217" s="106">
        <f>J216*0.27</f>
        <v>0</v>
      </c>
      <c r="K217" s="281"/>
    </row>
    <row r="218" spans="1:11" ht="25.15" customHeight="1" x14ac:dyDescent="0.25">
      <c r="A218" s="44" t="s">
        <v>262</v>
      </c>
      <c r="B218" s="34"/>
      <c r="C218" s="34"/>
      <c r="D218" s="34"/>
      <c r="E218" s="34"/>
      <c r="F218" s="117"/>
      <c r="G218" s="117"/>
      <c r="H218" s="118">
        <f t="shared" ref="H218:J220" si="18">SUM(H219)</f>
        <v>20000</v>
      </c>
      <c r="I218" s="118">
        <f t="shared" si="18"/>
        <v>20000</v>
      </c>
      <c r="J218" s="118">
        <f t="shared" si="18"/>
        <v>0</v>
      </c>
      <c r="K218" s="247">
        <f t="shared" ref="K218:K223" si="19">J218/I218</f>
        <v>0</v>
      </c>
    </row>
    <row r="219" spans="1:11" x14ac:dyDescent="0.25">
      <c r="A219" s="9" t="s">
        <v>30</v>
      </c>
      <c r="B219" s="9" t="s">
        <v>31</v>
      </c>
      <c r="C219" s="9"/>
      <c r="D219" s="9"/>
      <c r="E219" s="9"/>
      <c r="F219" s="107"/>
      <c r="G219" s="102"/>
      <c r="H219" s="103">
        <f t="shared" si="18"/>
        <v>20000</v>
      </c>
      <c r="I219" s="103">
        <f t="shared" si="18"/>
        <v>20000</v>
      </c>
      <c r="J219" s="103">
        <f>SUM(J220)</f>
        <v>0</v>
      </c>
      <c r="K219" s="246">
        <f t="shared" si="19"/>
        <v>0</v>
      </c>
    </row>
    <row r="220" spans="1:11" s="9" customFormat="1" ht="27.6" customHeight="1" x14ac:dyDescent="0.25">
      <c r="A220" s="4"/>
      <c r="B220" s="11"/>
      <c r="C220" s="11" t="s">
        <v>208</v>
      </c>
      <c r="D220" s="11" t="s">
        <v>209</v>
      </c>
      <c r="E220" s="11"/>
      <c r="F220" s="104"/>
      <c r="G220" s="77"/>
      <c r="H220" s="106">
        <f t="shared" si="18"/>
        <v>20000</v>
      </c>
      <c r="I220" s="106">
        <f t="shared" si="18"/>
        <v>20000</v>
      </c>
      <c r="J220" s="106">
        <f t="shared" si="18"/>
        <v>0</v>
      </c>
      <c r="K220" s="281">
        <f t="shared" si="19"/>
        <v>0</v>
      </c>
    </row>
    <row r="221" spans="1:11" s="9" customFormat="1" x14ac:dyDescent="0.25">
      <c r="A221" s="4"/>
      <c r="B221" s="11"/>
      <c r="C221" s="11"/>
      <c r="D221" s="11"/>
      <c r="E221" s="11"/>
      <c r="F221" s="104" t="s">
        <v>263</v>
      </c>
      <c r="G221" s="77"/>
      <c r="H221" s="106">
        <v>20000</v>
      </c>
      <c r="I221" s="106">
        <v>20000</v>
      </c>
      <c r="J221" s="106">
        <v>0</v>
      </c>
      <c r="K221" s="281">
        <f t="shared" si="19"/>
        <v>0</v>
      </c>
    </row>
    <row r="222" spans="1:11" ht="24.6" customHeight="1" x14ac:dyDescent="0.25">
      <c r="A222" s="44" t="s">
        <v>264</v>
      </c>
      <c r="B222" s="34"/>
      <c r="C222" s="34"/>
      <c r="D222" s="34"/>
      <c r="E222" s="34"/>
      <c r="F222" s="117"/>
      <c r="G222" s="117"/>
      <c r="H222" s="118">
        <f t="shared" ref="H222:J224" si="20">SUM(H223)</f>
        <v>20000</v>
      </c>
      <c r="I222" s="118">
        <f t="shared" si="20"/>
        <v>30000</v>
      </c>
      <c r="J222" s="118">
        <f t="shared" si="20"/>
        <v>30000</v>
      </c>
      <c r="K222" s="247">
        <f t="shared" si="19"/>
        <v>1</v>
      </c>
    </row>
    <row r="223" spans="1:11" x14ac:dyDescent="0.25">
      <c r="A223" s="9" t="s">
        <v>30</v>
      </c>
      <c r="B223" s="9" t="s">
        <v>31</v>
      </c>
      <c r="C223" s="9"/>
      <c r="D223" s="9"/>
      <c r="E223" s="9"/>
      <c r="F223" s="107"/>
      <c r="G223" s="102"/>
      <c r="H223" s="103">
        <f t="shared" si="20"/>
        <v>20000</v>
      </c>
      <c r="I223" s="103">
        <f t="shared" si="20"/>
        <v>30000</v>
      </c>
      <c r="J223" s="103">
        <f t="shared" si="20"/>
        <v>30000</v>
      </c>
      <c r="K223" s="246">
        <f t="shared" si="19"/>
        <v>1</v>
      </c>
    </row>
    <row r="224" spans="1:11" x14ac:dyDescent="0.25">
      <c r="C224" s="11" t="s">
        <v>208</v>
      </c>
      <c r="D224" s="11" t="s">
        <v>209</v>
      </c>
      <c r="F224" s="104"/>
      <c r="G224" s="77"/>
      <c r="H224" s="106">
        <f t="shared" si="20"/>
        <v>20000</v>
      </c>
      <c r="I224" s="106">
        <f t="shared" si="20"/>
        <v>30000</v>
      </c>
      <c r="J224" s="106">
        <f t="shared" si="20"/>
        <v>30000</v>
      </c>
      <c r="K224" s="281">
        <f t="shared" ref="K224:K225" si="21">J224/I224</f>
        <v>1</v>
      </c>
    </row>
    <row r="225" spans="1:11" s="9" customFormat="1" ht="25.9" customHeight="1" x14ac:dyDescent="0.25">
      <c r="A225" s="4"/>
      <c r="B225" s="11"/>
      <c r="C225" s="11"/>
      <c r="D225" s="11"/>
      <c r="E225" s="11"/>
      <c r="F225" s="104" t="s">
        <v>263</v>
      </c>
      <c r="G225" s="77"/>
      <c r="H225" s="106">
        <v>20000</v>
      </c>
      <c r="I225" s="106">
        <v>30000</v>
      </c>
      <c r="J225" s="106">
        <v>30000</v>
      </c>
      <c r="K225" s="281">
        <f t="shared" si="21"/>
        <v>1</v>
      </c>
    </row>
    <row r="226" spans="1:11" s="9" customFormat="1" ht="31.15" customHeight="1" x14ac:dyDescent="0.25">
      <c r="A226" s="44" t="s">
        <v>265</v>
      </c>
      <c r="B226" s="34"/>
      <c r="C226" s="34"/>
      <c r="D226" s="34"/>
      <c r="E226" s="34"/>
      <c r="F226" s="117"/>
      <c r="G226" s="117"/>
      <c r="H226" s="118">
        <v>0</v>
      </c>
      <c r="I226" s="118">
        <f>I227</f>
        <v>10000</v>
      </c>
      <c r="J226" s="118">
        <f>J227</f>
        <v>18000</v>
      </c>
      <c r="K226" s="247">
        <f>J226/I226</f>
        <v>1.8</v>
      </c>
    </row>
    <row r="227" spans="1:11" x14ac:dyDescent="0.25">
      <c r="A227" s="9" t="s">
        <v>26</v>
      </c>
      <c r="B227" s="9" t="s">
        <v>27</v>
      </c>
      <c r="C227" s="9"/>
      <c r="D227" s="9"/>
      <c r="E227" s="9"/>
      <c r="F227" s="107"/>
      <c r="G227" s="102"/>
      <c r="H227" s="103">
        <v>0</v>
      </c>
      <c r="I227" s="103">
        <f>I228+I233</f>
        <v>10000</v>
      </c>
      <c r="J227" s="103">
        <f>J228+J233</f>
        <v>18000</v>
      </c>
      <c r="K227" s="246">
        <f t="shared" ref="K227:K232" si="22">J227/I227</f>
        <v>1.8</v>
      </c>
    </row>
    <row r="228" spans="1:11" ht="24.6" customHeight="1" x14ac:dyDescent="0.25">
      <c r="B228" s="11" t="s">
        <v>168</v>
      </c>
      <c r="D228" s="11" t="s">
        <v>169</v>
      </c>
      <c r="F228" s="109"/>
      <c r="G228" s="109"/>
      <c r="H228" s="105">
        <f>SUM(+H229)</f>
        <v>0</v>
      </c>
      <c r="I228" s="105">
        <f>I229+I231</f>
        <v>10000</v>
      </c>
      <c r="J228" s="105">
        <f>J229+J231</f>
        <v>16299</v>
      </c>
      <c r="K228" s="281">
        <f t="shared" si="22"/>
        <v>1.6298999999999999</v>
      </c>
    </row>
    <row r="229" spans="1:11" x14ac:dyDescent="0.25">
      <c r="C229" s="11" t="s">
        <v>173</v>
      </c>
      <c r="D229" s="11" t="s">
        <v>174</v>
      </c>
      <c r="F229" s="104"/>
      <c r="G229" s="104"/>
      <c r="H229" s="106">
        <f>SUM(H230:H230)</f>
        <v>0</v>
      </c>
      <c r="I229" s="106">
        <v>0</v>
      </c>
      <c r="J229" s="106">
        <f>SUM(J230:J230)</f>
        <v>6299</v>
      </c>
      <c r="K229" s="281"/>
    </row>
    <row r="230" spans="1:11" x14ac:dyDescent="0.25">
      <c r="A230" s="9"/>
      <c r="B230" s="13"/>
      <c r="C230" s="13"/>
      <c r="D230" s="122"/>
      <c r="E230" s="122"/>
      <c r="F230" s="104" t="s">
        <v>236</v>
      </c>
      <c r="G230" s="104"/>
      <c r="H230" s="106">
        <v>0</v>
      </c>
      <c r="I230" s="106">
        <v>0</v>
      </c>
      <c r="J230" s="106">
        <v>6299</v>
      </c>
      <c r="K230" s="281"/>
    </row>
    <row r="231" spans="1:11" x14ac:dyDescent="0.25">
      <c r="C231" s="11" t="s">
        <v>187</v>
      </c>
      <c r="D231" s="11" t="s">
        <v>188</v>
      </c>
      <c r="F231" s="104"/>
      <c r="G231" s="77"/>
      <c r="H231" s="106">
        <v>0</v>
      </c>
      <c r="I231" s="106">
        <f>SUM(I232)</f>
        <v>10000</v>
      </c>
      <c r="J231" s="106">
        <f>SUM(J232)</f>
        <v>10000</v>
      </c>
      <c r="K231" s="281">
        <f t="shared" si="22"/>
        <v>1</v>
      </c>
    </row>
    <row r="232" spans="1:11" x14ac:dyDescent="0.25">
      <c r="F232" s="104" t="s">
        <v>224</v>
      </c>
      <c r="G232" s="77"/>
      <c r="H232" s="106">
        <v>0</v>
      </c>
      <c r="I232" s="106">
        <v>10000</v>
      </c>
      <c r="J232" s="106">
        <v>10000</v>
      </c>
      <c r="K232" s="281">
        <f t="shared" si="22"/>
        <v>1</v>
      </c>
    </row>
    <row r="233" spans="1:11" x14ac:dyDescent="0.25">
      <c r="B233" s="11" t="s">
        <v>194</v>
      </c>
      <c r="D233" s="11" t="s">
        <v>195</v>
      </c>
      <c r="F233" s="104"/>
      <c r="G233" s="104"/>
      <c r="H233" s="105">
        <v>0</v>
      </c>
      <c r="I233" s="105">
        <f>I234</f>
        <v>0</v>
      </c>
      <c r="J233" s="105">
        <f>J234</f>
        <v>1701</v>
      </c>
      <c r="K233" s="281"/>
    </row>
    <row r="234" spans="1:11" x14ac:dyDescent="0.25">
      <c r="C234" s="11" t="s">
        <v>196</v>
      </c>
      <c r="D234" s="11" t="s">
        <v>197</v>
      </c>
      <c r="H234" s="37">
        <v>0</v>
      </c>
      <c r="I234" s="37">
        <v>0</v>
      </c>
      <c r="J234" s="37">
        <v>1701</v>
      </c>
      <c r="K234" s="281"/>
    </row>
    <row r="235" spans="1:11" s="9" customFormat="1" ht="22.9" customHeight="1" x14ac:dyDescent="0.25">
      <c r="A235" s="407" t="s">
        <v>81</v>
      </c>
      <c r="B235" s="407"/>
      <c r="C235" s="407"/>
      <c r="D235" s="407"/>
      <c r="E235" s="407"/>
      <c r="F235" s="407"/>
      <c r="G235" s="117"/>
      <c r="H235" s="118">
        <f t="shared" ref="H235:K236" si="23">SUM(H236)</f>
        <v>0</v>
      </c>
      <c r="I235" s="118">
        <f t="shared" si="23"/>
        <v>0</v>
      </c>
      <c r="J235" s="118">
        <f t="shared" si="23"/>
        <v>0</v>
      </c>
      <c r="K235" s="118">
        <f t="shared" si="23"/>
        <v>0</v>
      </c>
    </row>
    <row r="236" spans="1:11" x14ac:dyDescent="0.25">
      <c r="A236" s="9" t="s">
        <v>30</v>
      </c>
      <c r="B236" s="9" t="s">
        <v>31</v>
      </c>
      <c r="C236" s="9"/>
      <c r="D236" s="9"/>
      <c r="E236" s="9"/>
      <c r="F236" s="107"/>
      <c r="G236" s="102"/>
      <c r="H236" s="103">
        <f t="shared" si="23"/>
        <v>0</v>
      </c>
      <c r="I236" s="103">
        <f t="shared" si="23"/>
        <v>0</v>
      </c>
      <c r="J236" s="103">
        <f t="shared" si="23"/>
        <v>0</v>
      </c>
      <c r="K236" s="103">
        <f t="shared" si="23"/>
        <v>0</v>
      </c>
    </row>
    <row r="237" spans="1:11" x14ac:dyDescent="0.25">
      <c r="C237" s="11" t="s">
        <v>266</v>
      </c>
      <c r="D237" s="11" t="s">
        <v>267</v>
      </c>
      <c r="F237" s="104"/>
      <c r="G237" s="77"/>
      <c r="H237" s="106">
        <v>0</v>
      </c>
      <c r="I237" s="106">
        <v>0</v>
      </c>
      <c r="J237" s="106">
        <v>0</v>
      </c>
      <c r="K237" s="106">
        <v>0</v>
      </c>
    </row>
    <row r="238" spans="1:11" ht="26.45" customHeight="1" x14ac:dyDescent="0.25">
      <c r="A238" s="397" t="s">
        <v>115</v>
      </c>
      <c r="B238" s="397"/>
      <c r="C238" s="397"/>
      <c r="D238" s="397"/>
      <c r="E238" s="397"/>
      <c r="F238" s="397"/>
      <c r="G238" s="397"/>
      <c r="H238" s="118"/>
      <c r="I238" s="118">
        <f>I239+I245+I248</f>
        <v>11988124.359999999</v>
      </c>
      <c r="J238" s="118">
        <f>J239+J245+J248</f>
        <v>3599906</v>
      </c>
      <c r="K238" s="247">
        <f>J238/I238</f>
        <v>0.30028934401211033</v>
      </c>
    </row>
    <row r="239" spans="1:11" x14ac:dyDescent="0.25">
      <c r="A239" s="9" t="s">
        <v>26</v>
      </c>
      <c r="B239" s="9" t="s">
        <v>27</v>
      </c>
      <c r="C239" s="9"/>
      <c r="D239" s="9"/>
      <c r="E239" s="9"/>
      <c r="F239" s="107"/>
      <c r="G239" s="102"/>
      <c r="H239" s="103">
        <v>0</v>
      </c>
      <c r="I239" s="103"/>
      <c r="J239" s="103">
        <f>J240+J243</f>
        <v>170500</v>
      </c>
      <c r="K239" s="246"/>
    </row>
    <row r="240" spans="1:11" x14ac:dyDescent="0.25">
      <c r="B240" s="11" t="s">
        <v>181</v>
      </c>
      <c r="D240" s="11" t="s">
        <v>182</v>
      </c>
      <c r="F240" s="104"/>
      <c r="G240" s="104"/>
      <c r="H240" s="105">
        <f>SUM(H241+H242+H243)</f>
        <v>0</v>
      </c>
      <c r="I240" s="105">
        <f>I241</f>
        <v>0</v>
      </c>
      <c r="J240" s="105">
        <f>J241</f>
        <v>134252</v>
      </c>
      <c r="K240" s="281"/>
    </row>
    <row r="241" spans="1:11" x14ac:dyDescent="0.25">
      <c r="C241" s="11" t="s">
        <v>187</v>
      </c>
      <c r="D241" s="11" t="s">
        <v>188</v>
      </c>
      <c r="F241" s="104"/>
      <c r="G241" s="77"/>
      <c r="H241" s="106">
        <v>0</v>
      </c>
      <c r="I241" s="106">
        <v>0</v>
      </c>
      <c r="J241" s="106">
        <f>SUM(J242)</f>
        <v>134252</v>
      </c>
      <c r="K241" s="281"/>
    </row>
    <row r="242" spans="1:11" x14ac:dyDescent="0.25">
      <c r="F242" s="104" t="s">
        <v>224</v>
      </c>
      <c r="G242" s="77"/>
      <c r="H242" s="106">
        <v>0</v>
      </c>
      <c r="I242" s="106">
        <v>0</v>
      </c>
      <c r="J242" s="106">
        <v>134252</v>
      </c>
      <c r="K242" s="281"/>
    </row>
    <row r="243" spans="1:11" x14ac:dyDescent="0.25">
      <c r="B243" s="11" t="s">
        <v>194</v>
      </c>
      <c r="D243" s="11" t="s">
        <v>195</v>
      </c>
      <c r="F243" s="104"/>
      <c r="G243" s="104"/>
      <c r="H243" s="105">
        <v>0</v>
      </c>
      <c r="I243" s="105">
        <f>I244</f>
        <v>0</v>
      </c>
      <c r="J243" s="105">
        <f>J244</f>
        <v>36248</v>
      </c>
      <c r="K243" s="281"/>
    </row>
    <row r="244" spans="1:11" x14ac:dyDescent="0.25">
      <c r="C244" s="11" t="s">
        <v>196</v>
      </c>
      <c r="D244" s="11" t="s">
        <v>197</v>
      </c>
      <c r="H244" s="37">
        <v>0</v>
      </c>
      <c r="I244" s="37">
        <v>0</v>
      </c>
      <c r="J244" s="37">
        <v>36248</v>
      </c>
      <c r="K244" s="281"/>
    </row>
    <row r="245" spans="1:11" x14ac:dyDescent="0.25">
      <c r="A245" s="9" t="s">
        <v>33</v>
      </c>
      <c r="B245" s="13" t="s">
        <v>34</v>
      </c>
      <c r="F245" s="104"/>
      <c r="G245" s="104"/>
      <c r="H245" s="103">
        <f>SUM(H246:H247)</f>
        <v>635000</v>
      </c>
      <c r="I245" s="103">
        <f>SUM(I246:I247)</f>
        <v>3498405.5</v>
      </c>
      <c r="J245" s="103">
        <f>SUM(J246:J247)</f>
        <v>3429406</v>
      </c>
      <c r="K245" s="246">
        <f>J245/I245</f>
        <v>0.98027687184918955</v>
      </c>
    </row>
    <row r="246" spans="1:11" x14ac:dyDescent="0.25">
      <c r="B246" s="11" t="s">
        <v>227</v>
      </c>
      <c r="C246" s="9"/>
      <c r="D246" s="11" t="s">
        <v>228</v>
      </c>
      <c r="E246" s="9"/>
      <c r="F246" s="120"/>
      <c r="G246" s="106"/>
      <c r="H246" s="106">
        <v>500000</v>
      </c>
      <c r="I246" s="106">
        <v>2754650</v>
      </c>
      <c r="J246" s="106">
        <v>2700320</v>
      </c>
      <c r="K246" s="281">
        <f t="shared" ref="K246:K250" si="24">J246/I246</f>
        <v>0.98027698618699288</v>
      </c>
    </row>
    <row r="247" spans="1:11" x14ac:dyDescent="0.25">
      <c r="B247" s="11" t="s">
        <v>229</v>
      </c>
      <c r="D247" s="11" t="s">
        <v>230</v>
      </c>
      <c r="F247" s="104"/>
      <c r="G247" s="104"/>
      <c r="H247" s="106">
        <f>H246*0.27</f>
        <v>135000</v>
      </c>
      <c r="I247" s="106">
        <f>I246*0.27</f>
        <v>743755.5</v>
      </c>
      <c r="J247" s="106">
        <v>729086</v>
      </c>
      <c r="K247" s="281">
        <f t="shared" si="24"/>
        <v>0.98027644837584393</v>
      </c>
    </row>
    <row r="248" spans="1:11" x14ac:dyDescent="0.25">
      <c r="A248" s="9" t="s">
        <v>35</v>
      </c>
      <c r="B248" s="9" t="s">
        <v>36</v>
      </c>
      <c r="C248" s="9"/>
      <c r="D248" s="9"/>
      <c r="E248" s="9"/>
      <c r="F248" s="107"/>
      <c r="G248" s="121"/>
      <c r="H248" s="103">
        <f>SUM(H249:H250)</f>
        <v>0</v>
      </c>
      <c r="I248" s="103">
        <f>SUM(I249:I250)</f>
        <v>8489718.8599999994</v>
      </c>
      <c r="J248" s="103">
        <f>SUM(J249:J250)</f>
        <v>0</v>
      </c>
      <c r="K248" s="246">
        <f t="shared" si="24"/>
        <v>0</v>
      </c>
    </row>
    <row r="249" spans="1:11" x14ac:dyDescent="0.25">
      <c r="B249" s="11" t="s">
        <v>231</v>
      </c>
      <c r="D249" s="11" t="s">
        <v>261</v>
      </c>
      <c r="F249" s="104"/>
      <c r="G249" s="77"/>
      <c r="H249" s="106">
        <v>0</v>
      </c>
      <c r="I249" s="106">
        <v>6684818</v>
      </c>
      <c r="J249" s="106">
        <v>0</v>
      </c>
      <c r="K249" s="281">
        <f t="shared" si="24"/>
        <v>0</v>
      </c>
    </row>
    <row r="250" spans="1:11" s="9" customFormat="1" ht="17.45" customHeight="1" x14ac:dyDescent="0.25">
      <c r="A250" s="4"/>
      <c r="B250" s="11" t="s">
        <v>233</v>
      </c>
      <c r="C250" s="11"/>
      <c r="D250" s="11" t="s">
        <v>234</v>
      </c>
      <c r="E250" s="11"/>
      <c r="F250" s="104"/>
      <c r="G250" s="77"/>
      <c r="H250" s="106">
        <f>H249*0.27</f>
        <v>0</v>
      </c>
      <c r="I250" s="106">
        <f>I249*0.27</f>
        <v>1804900.86</v>
      </c>
      <c r="J250" s="106">
        <v>0</v>
      </c>
      <c r="K250" s="281">
        <f t="shared" si="24"/>
        <v>0</v>
      </c>
    </row>
    <row r="251" spans="1:11" s="7" customFormat="1" ht="19.149999999999999" customHeight="1" x14ac:dyDescent="0.25">
      <c r="A251" s="44" t="s">
        <v>268</v>
      </c>
      <c r="B251" s="34"/>
      <c r="C251" s="34"/>
      <c r="D251" s="34"/>
      <c r="E251" s="34"/>
      <c r="F251" s="133"/>
      <c r="G251" s="124">
        <f>SUM(G10+G128+G148)</f>
        <v>6</v>
      </c>
      <c r="H251" s="123">
        <f>SUM(H10+H52+H65+H94+H109+H121+H128+H148+H168+H188+H202+H49+H90+H160+H179+H218+H222+H235+H164+H226)</f>
        <v>85278615.480000004</v>
      </c>
      <c r="I251" s="123">
        <f>SUM(I10+I52+I65+I94+I109+I121+I128+I148+I168+I188+I202+I49+I90+I160+I179+I218+I222+I235+I164+I226+I238)</f>
        <v>112543869.76000001</v>
      </c>
      <c r="J251" s="123">
        <f>SUM(J10+J52+J65+J94+J109+J121+J128+J148+J168+J188+J202+J49+J90+J160+J179+J218+J222+J235+J164+J226+J238)</f>
        <v>79139285</v>
      </c>
      <c r="K251" s="252">
        <f>J251/I251</f>
        <v>0.70318610128445613</v>
      </c>
    </row>
    <row r="252" spans="1:11" x14ac:dyDescent="0.25">
      <c r="A252" s="58" t="s">
        <v>22</v>
      </c>
      <c r="B252" s="57" t="s">
        <v>150</v>
      </c>
      <c r="C252" s="57"/>
      <c r="D252" s="57"/>
      <c r="E252" s="57"/>
      <c r="F252" s="134"/>
      <c r="G252" s="132" t="s">
        <v>22</v>
      </c>
      <c r="H252" s="132">
        <f>H11+H66+H129+H149</f>
        <v>13844584</v>
      </c>
      <c r="I252" s="132">
        <f>I11+I66+I129+I149</f>
        <v>15876427</v>
      </c>
      <c r="J252" s="132">
        <f>J11+J66+J129+J149</f>
        <v>13841247</v>
      </c>
      <c r="K252" s="268">
        <f>J252/I252</f>
        <v>0.8718112078996112</v>
      </c>
    </row>
    <row r="253" spans="1:11" x14ac:dyDescent="0.25">
      <c r="A253" s="58" t="s">
        <v>24</v>
      </c>
      <c r="B253" s="62" t="s">
        <v>166</v>
      </c>
      <c r="C253" s="62"/>
      <c r="D253" s="62"/>
      <c r="E253" s="62"/>
      <c r="F253" s="135"/>
      <c r="G253" s="132" t="s">
        <v>24</v>
      </c>
      <c r="H253" s="132">
        <f>H20+H69+H135+H153</f>
        <v>2303883.48</v>
      </c>
      <c r="I253" s="132">
        <f>I20+I69+I135+I153</f>
        <v>2435108.4</v>
      </c>
      <c r="J253" s="132">
        <f>J20+J69+J135+J153</f>
        <v>2182023</v>
      </c>
      <c r="K253" s="268">
        <f t="shared" ref="K253:K259" si="25">J253/I253</f>
        <v>0.89606811754252913</v>
      </c>
    </row>
    <row r="254" spans="1:11" x14ac:dyDescent="0.25">
      <c r="A254" s="58" t="s">
        <v>26</v>
      </c>
      <c r="B254" s="62" t="s">
        <v>27</v>
      </c>
      <c r="C254" s="62"/>
      <c r="D254" s="62"/>
      <c r="E254" s="62"/>
      <c r="F254" s="135"/>
      <c r="G254" s="132" t="s">
        <v>26</v>
      </c>
      <c r="H254" s="132">
        <f>H22+H71+H95+H110+H122+H137+H169+H180+H189+H203</f>
        <v>15394197</v>
      </c>
      <c r="I254" s="132">
        <f>I22+I71+I95+I110+I122+I137+I155+I169+I180+I189+I203+I227+I239</f>
        <v>15311076</v>
      </c>
      <c r="J254" s="132">
        <f>J22+J71+J95+J110+J122+J137+J155+J169+J180+J189+J203+J227+J239</f>
        <v>11101047</v>
      </c>
      <c r="K254" s="268">
        <f t="shared" si="25"/>
        <v>0.72503375987422436</v>
      </c>
    </row>
    <row r="255" spans="1:11" x14ac:dyDescent="0.25">
      <c r="A255" s="58" t="s">
        <v>28</v>
      </c>
      <c r="B255" s="62" t="s">
        <v>250</v>
      </c>
      <c r="C255" s="62"/>
      <c r="D255" s="62"/>
      <c r="E255" s="62"/>
      <c r="F255" s="135"/>
      <c r="G255" s="132" t="s">
        <v>28</v>
      </c>
      <c r="H255" s="132">
        <f>H165+H176</f>
        <v>2915000</v>
      </c>
      <c r="I255" s="132">
        <f>I165+I176</f>
        <v>3313067</v>
      </c>
      <c r="J255" s="132">
        <f>J165+J176</f>
        <v>2743067</v>
      </c>
      <c r="K255" s="268">
        <f t="shared" si="25"/>
        <v>0.82795397738711596</v>
      </c>
    </row>
    <row r="256" spans="1:11" x14ac:dyDescent="0.25">
      <c r="A256" s="58" t="s">
        <v>30</v>
      </c>
      <c r="B256" s="62" t="s">
        <v>31</v>
      </c>
      <c r="C256" s="62"/>
      <c r="D256" s="62"/>
      <c r="E256" s="62"/>
      <c r="F256" s="135"/>
      <c r="G256" s="132" t="s">
        <v>30</v>
      </c>
      <c r="H256" s="132">
        <f>H41+H56+H91+H161+H219+H223+H236</f>
        <v>20231293</v>
      </c>
      <c r="I256" s="132">
        <f>I41+I56+I91+I161+I219+I223+I236</f>
        <v>22279438</v>
      </c>
      <c r="J256" s="132">
        <f>J41+J56+J91+J161+J219+J223+J236</f>
        <v>6717916</v>
      </c>
      <c r="K256" s="268">
        <f t="shared" si="25"/>
        <v>0.30152986803347553</v>
      </c>
    </row>
    <row r="257" spans="1:11" x14ac:dyDescent="0.25">
      <c r="A257" s="58" t="s">
        <v>33</v>
      </c>
      <c r="B257" s="62" t="s">
        <v>34</v>
      </c>
      <c r="C257" s="62"/>
      <c r="D257" s="62"/>
      <c r="E257" s="62"/>
      <c r="F257" s="135"/>
      <c r="G257" s="132" t="s">
        <v>33</v>
      </c>
      <c r="H257" s="132">
        <f>H83+H106+H118</f>
        <v>2535050</v>
      </c>
      <c r="I257" s="132">
        <f>I83+I106+I118+I245</f>
        <v>6033455.5</v>
      </c>
      <c r="J257" s="132">
        <f>J83+J106+J118+J245</f>
        <v>3748406</v>
      </c>
      <c r="K257" s="268">
        <f t="shared" si="25"/>
        <v>0.62127018256785016</v>
      </c>
    </row>
    <row r="258" spans="1:11" x14ac:dyDescent="0.25">
      <c r="A258" s="58" t="s">
        <v>35</v>
      </c>
      <c r="B258" s="62" t="s">
        <v>36</v>
      </c>
      <c r="C258" s="62"/>
      <c r="D258" s="62"/>
      <c r="E258" s="62"/>
      <c r="F258" s="135"/>
      <c r="G258" s="132" t="s">
        <v>35</v>
      </c>
      <c r="H258" s="132">
        <f>H87+H215</f>
        <v>1000000</v>
      </c>
      <c r="I258" s="132">
        <f>I87+I215+I248</f>
        <v>11664718.859999999</v>
      </c>
      <c r="J258" s="132">
        <f>J87+J215+J248</f>
        <v>3175000</v>
      </c>
      <c r="K258" s="268">
        <f t="shared" si="25"/>
        <v>0.27218830030164998</v>
      </c>
    </row>
    <row r="259" spans="1:11" x14ac:dyDescent="0.25">
      <c r="A259" s="58" t="s">
        <v>37</v>
      </c>
      <c r="B259" s="57" t="s">
        <v>38</v>
      </c>
      <c r="C259" s="57"/>
      <c r="D259" s="57"/>
      <c r="E259" s="57"/>
      <c r="F259" s="134"/>
      <c r="G259" s="132" t="s">
        <v>37</v>
      </c>
      <c r="H259" s="132">
        <f>H50+H53</f>
        <v>27054608</v>
      </c>
      <c r="I259" s="132">
        <f>I50+I53</f>
        <v>35630579</v>
      </c>
      <c r="J259" s="132">
        <f>J50+J53</f>
        <v>35630579</v>
      </c>
      <c r="K259" s="268">
        <f t="shared" si="25"/>
        <v>1</v>
      </c>
    </row>
    <row r="260" spans="1:11" x14ac:dyDescent="0.25">
      <c r="A260" s="65" t="s">
        <v>269</v>
      </c>
      <c r="B260" s="136"/>
      <c r="C260" s="136"/>
      <c r="D260" s="136"/>
      <c r="E260" s="136"/>
      <c r="F260" s="137"/>
      <c r="G260" s="137"/>
      <c r="H260" s="138">
        <f>SUM(H252:H259)</f>
        <v>85278615.480000004</v>
      </c>
      <c r="I260" s="138">
        <f>SUM(I252:I259)</f>
        <v>112543869.75999999</v>
      </c>
      <c r="J260" s="138">
        <f>SUM(J252:J259)</f>
        <v>79139285</v>
      </c>
      <c r="K260" s="269">
        <f>J260/I260</f>
        <v>0.70318610128445624</v>
      </c>
    </row>
    <row r="261" spans="1:11" x14ac:dyDescent="0.25">
      <c r="A261" s="7"/>
      <c r="B261" s="139"/>
      <c r="C261" s="139"/>
      <c r="D261" s="139"/>
      <c r="E261" s="139"/>
      <c r="F261" s="139"/>
      <c r="G261" s="139"/>
      <c r="I261" s="391"/>
      <c r="J261" s="391"/>
    </row>
    <row r="262" spans="1:11" x14ac:dyDescent="0.25">
      <c r="J262" s="38"/>
    </row>
  </sheetData>
  <sheetProtection selectLockedCells="1" selectUnlockedCells="1"/>
  <mergeCells count="14">
    <mergeCell ref="A2:I2"/>
    <mergeCell ref="A6:G6"/>
    <mergeCell ref="A4:K4"/>
    <mergeCell ref="A5:K5"/>
    <mergeCell ref="A1:K1"/>
    <mergeCell ref="A8:F9"/>
    <mergeCell ref="G8:G9"/>
    <mergeCell ref="A238:G238"/>
    <mergeCell ref="A10:F10"/>
    <mergeCell ref="A52:F52"/>
    <mergeCell ref="A65:F65"/>
    <mergeCell ref="A94:F94"/>
    <mergeCell ref="A121:F121"/>
    <mergeCell ref="A235:F235"/>
  </mergeCells>
  <printOptions horizontalCentered="1" headings="1" gridLines="1"/>
  <pageMargins left="0.27569444444444446" right="0.27569444444444446" top="0.78749999999999998" bottom="0.78749999999999998" header="0.51180555555555551" footer="0.51180555555555551"/>
  <pageSetup paperSize="9" scale="54" firstPageNumber="0" orientation="portrait" verticalDpi="300" r:id="rId1"/>
  <headerFooter alignWithMargins="0">
    <oddFooter>&amp;C&amp;P. oldal, összesen: &amp;N</oddFooter>
  </headerFooter>
  <rowBreaks count="3" manualBreakCount="3">
    <brk id="64" max="16383" man="1"/>
    <brk id="127" max="11" man="1"/>
    <brk id="20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tabSelected="1" view="pageBreakPreview" topLeftCell="A19" zoomScale="120" zoomScaleNormal="120" zoomScaleSheetLayoutView="120" workbookViewId="0">
      <selection activeCell="A3" sqref="A3:E3"/>
    </sheetView>
  </sheetViews>
  <sheetFormatPr defaultColWidth="9.140625" defaultRowHeight="12.75" x14ac:dyDescent="0.2"/>
  <cols>
    <col min="1" max="1" width="82" style="84" customWidth="1"/>
    <col min="2" max="2" width="13.5703125" style="84" customWidth="1"/>
    <col min="3" max="3" width="13.140625" style="84" customWidth="1"/>
    <col min="4" max="4" width="14.7109375" style="84" customWidth="1"/>
    <col min="5" max="5" width="15.7109375" style="84" customWidth="1"/>
    <col min="6" max="16384" width="9.140625" style="84"/>
  </cols>
  <sheetData>
    <row r="1" spans="1:5" ht="15.75" x14ac:dyDescent="0.25">
      <c r="A1" s="402" t="s">
        <v>367</v>
      </c>
      <c r="B1" s="402"/>
      <c r="C1" s="402"/>
      <c r="D1" s="402"/>
      <c r="E1" s="402"/>
    </row>
    <row r="2" spans="1:5" ht="15.75" x14ac:dyDescent="0.25">
      <c r="A2" s="402"/>
      <c r="B2" s="402"/>
      <c r="C2" s="402"/>
      <c r="D2" s="402"/>
      <c r="E2" s="402"/>
    </row>
    <row r="3" spans="1:5" s="85" customFormat="1" ht="15.75" x14ac:dyDescent="0.25">
      <c r="A3" s="402"/>
      <c r="B3" s="402"/>
      <c r="C3" s="402"/>
      <c r="D3" s="402"/>
      <c r="E3" s="402"/>
    </row>
    <row r="4" spans="1:5" s="85" customFormat="1" ht="24" customHeight="1" x14ac:dyDescent="0.2">
      <c r="A4" s="408" t="s">
        <v>270</v>
      </c>
      <c r="B4" s="408"/>
      <c r="C4" s="408"/>
      <c r="D4" s="408"/>
      <c r="E4" s="408"/>
    </row>
    <row r="5" spans="1:5" s="85" customFormat="1" ht="25.5" customHeight="1" x14ac:dyDescent="0.2">
      <c r="A5" s="408" t="s">
        <v>271</v>
      </c>
      <c r="B5" s="408"/>
      <c r="C5" s="408"/>
      <c r="D5" s="408"/>
      <c r="E5" s="408"/>
    </row>
    <row r="6" spans="1:5" s="85" customFormat="1" ht="47.25" x14ac:dyDescent="0.2">
      <c r="A6" s="88" t="s">
        <v>272</v>
      </c>
      <c r="B6" s="89" t="s">
        <v>138</v>
      </c>
      <c r="C6" s="89" t="s">
        <v>139</v>
      </c>
      <c r="D6" s="89" t="s">
        <v>140</v>
      </c>
      <c r="E6" s="89" t="s">
        <v>141</v>
      </c>
    </row>
    <row r="7" spans="1:5" s="85" customFormat="1" ht="15.75" x14ac:dyDescent="0.25">
      <c r="A7" s="92" t="s">
        <v>273</v>
      </c>
      <c r="B7" s="91">
        <f>'5.kiadás'!J10</f>
        <v>9944570</v>
      </c>
      <c r="C7" s="91">
        <v>0</v>
      </c>
      <c r="D7" s="91">
        <v>0</v>
      </c>
      <c r="E7" s="91">
        <f>SUM(B7:D7)</f>
        <v>9944570</v>
      </c>
    </row>
    <row r="8" spans="1:5" s="85" customFormat="1" ht="15.75" x14ac:dyDescent="0.25">
      <c r="A8" s="92" t="s">
        <v>111</v>
      </c>
      <c r="B8" s="91">
        <f>'5.kiadás'!J49</f>
        <v>3593096</v>
      </c>
      <c r="C8" s="91">
        <v>0</v>
      </c>
      <c r="D8" s="91">
        <v>0</v>
      </c>
      <c r="E8" s="91">
        <f t="shared" ref="E8:E28" si="0">SUM(B8:D8)</f>
        <v>3593096</v>
      </c>
    </row>
    <row r="9" spans="1:5" s="85" customFormat="1" ht="15.75" x14ac:dyDescent="0.25">
      <c r="A9" s="92" t="s">
        <v>54</v>
      </c>
      <c r="B9" s="91">
        <f>'5.kiadás'!J52-'5.kiadás'!J55</f>
        <v>6612016</v>
      </c>
      <c r="C9" s="91">
        <v>0</v>
      </c>
      <c r="D9" s="91">
        <v>0</v>
      </c>
      <c r="E9" s="91">
        <f t="shared" si="0"/>
        <v>6612016</v>
      </c>
    </row>
    <row r="10" spans="1:5" s="85" customFormat="1" ht="15.75" x14ac:dyDescent="0.25">
      <c r="A10" s="92" t="s">
        <v>143</v>
      </c>
      <c r="B10" s="91">
        <f>'5.kiadás'!J65</f>
        <v>5166881</v>
      </c>
      <c r="C10" s="91">
        <v>0</v>
      </c>
      <c r="D10" s="91">
        <v>0</v>
      </c>
      <c r="E10" s="91">
        <f t="shared" si="0"/>
        <v>5166881</v>
      </c>
    </row>
    <row r="11" spans="1:5" s="85" customFormat="1" ht="15.75" x14ac:dyDescent="0.25">
      <c r="A11" s="92" t="s">
        <v>274</v>
      </c>
      <c r="B11" s="91">
        <f>'5.kiadás'!J90</f>
        <v>0</v>
      </c>
      <c r="C11" s="91">
        <v>0</v>
      </c>
      <c r="D11" s="91">
        <v>0</v>
      </c>
      <c r="E11" s="91">
        <f t="shared" si="0"/>
        <v>0</v>
      </c>
    </row>
    <row r="12" spans="1:5" s="85" customFormat="1" ht="15.75" x14ac:dyDescent="0.25">
      <c r="A12" s="92" t="s">
        <v>80</v>
      </c>
      <c r="B12" s="91">
        <f>'5.kiadás'!J94</f>
        <v>805255</v>
      </c>
      <c r="C12" s="91">
        <v>0</v>
      </c>
      <c r="D12" s="91">
        <v>0</v>
      </c>
      <c r="E12" s="91">
        <f t="shared" si="0"/>
        <v>805255</v>
      </c>
    </row>
    <row r="13" spans="1:5" s="85" customFormat="1" ht="15.75" x14ac:dyDescent="0.25">
      <c r="A13" s="90" t="s">
        <v>275</v>
      </c>
      <c r="B13" s="91">
        <f>'5.kiadás'!J109</f>
        <v>468724</v>
      </c>
      <c r="C13" s="91">
        <v>0</v>
      </c>
      <c r="D13" s="91">
        <v>0</v>
      </c>
      <c r="E13" s="91">
        <f t="shared" si="0"/>
        <v>468724</v>
      </c>
    </row>
    <row r="14" spans="1:5" s="85" customFormat="1" ht="15.75" x14ac:dyDescent="0.25">
      <c r="A14" s="92" t="s">
        <v>276</v>
      </c>
      <c r="B14" s="91">
        <f>'5.kiadás'!J121</f>
        <v>663674</v>
      </c>
      <c r="C14" s="91">
        <v>0</v>
      </c>
      <c r="D14" s="91">
        <v>0</v>
      </c>
      <c r="E14" s="91">
        <f t="shared" si="0"/>
        <v>663674</v>
      </c>
    </row>
    <row r="15" spans="1:5" s="85" customFormat="1" ht="15.75" x14ac:dyDescent="0.25">
      <c r="A15" s="90" t="s">
        <v>277</v>
      </c>
      <c r="B15" s="91">
        <f>'5.kiadás'!J128</f>
        <v>4872066</v>
      </c>
      <c r="C15" s="91">
        <v>0</v>
      </c>
      <c r="D15" s="91">
        <v>0</v>
      </c>
      <c r="E15" s="91">
        <f t="shared" si="0"/>
        <v>4872066</v>
      </c>
    </row>
    <row r="16" spans="1:5" s="85" customFormat="1" ht="15.75" x14ac:dyDescent="0.25">
      <c r="A16" s="90" t="s">
        <v>126</v>
      </c>
      <c r="B16" s="91">
        <f>'5.kiadás'!J148+'12.Idősek Otthona kiadás'!I45</f>
        <v>5105073</v>
      </c>
      <c r="C16" s="91">
        <v>0</v>
      </c>
      <c r="D16" s="91">
        <v>0</v>
      </c>
      <c r="E16" s="91">
        <f t="shared" si="0"/>
        <v>5105073</v>
      </c>
    </row>
    <row r="17" spans="1:5" s="85" customFormat="1" ht="15.75" x14ac:dyDescent="0.25">
      <c r="A17" s="90" t="s">
        <v>248</v>
      </c>
      <c r="B17" s="91">
        <f>'5.kiadás'!J160</f>
        <v>0</v>
      </c>
      <c r="C17" s="91">
        <v>0</v>
      </c>
      <c r="D17" s="91">
        <v>0</v>
      </c>
      <c r="E17" s="91">
        <f t="shared" si="0"/>
        <v>0</v>
      </c>
    </row>
    <row r="18" spans="1:5" s="85" customFormat="1" ht="15.75" x14ac:dyDescent="0.25">
      <c r="A18" s="90" t="s">
        <v>249</v>
      </c>
      <c r="B18" s="91">
        <f>'5.kiadás'!J164</f>
        <v>0</v>
      </c>
      <c r="C18" s="91">
        <v>0</v>
      </c>
      <c r="D18" s="91"/>
      <c r="E18" s="91">
        <f t="shared" si="0"/>
        <v>0</v>
      </c>
    </row>
    <row r="19" spans="1:5" s="85" customFormat="1" ht="15.75" x14ac:dyDescent="0.25">
      <c r="A19" s="90" t="s">
        <v>254</v>
      </c>
      <c r="B19" s="91">
        <f>'5.kiadás'!J168</f>
        <v>4236527</v>
      </c>
      <c r="C19" s="91">
        <v>0</v>
      </c>
      <c r="D19" s="91">
        <v>0</v>
      </c>
      <c r="E19" s="91">
        <f t="shared" si="0"/>
        <v>4236527</v>
      </c>
    </row>
    <row r="20" spans="1:5" s="85" customFormat="1" ht="15.75" x14ac:dyDescent="0.25">
      <c r="A20" s="90" t="s">
        <v>257</v>
      </c>
      <c r="B20" s="91">
        <f>'5.kiadás'!J179</f>
        <v>39600</v>
      </c>
      <c r="C20" s="91">
        <v>0</v>
      </c>
      <c r="D20" s="91">
        <v>0</v>
      </c>
      <c r="E20" s="91">
        <f t="shared" si="0"/>
        <v>39600</v>
      </c>
    </row>
    <row r="21" spans="1:5" s="85" customFormat="1" ht="15.75" x14ac:dyDescent="0.25">
      <c r="A21" s="90" t="s">
        <v>258</v>
      </c>
      <c r="B21" s="91"/>
      <c r="C21" s="91">
        <f>'5.kiadás'!J188</f>
        <v>53756</v>
      </c>
      <c r="D21" s="91">
        <v>0</v>
      </c>
      <c r="E21" s="91">
        <f t="shared" si="0"/>
        <v>53756</v>
      </c>
    </row>
    <row r="22" spans="1:5" s="85" customFormat="1" ht="15.75" x14ac:dyDescent="0.25">
      <c r="A22" s="90" t="s">
        <v>278</v>
      </c>
      <c r="B22" s="91"/>
      <c r="C22" s="91">
        <f>'5.kiadás'!J202</f>
        <v>3060585</v>
      </c>
      <c r="D22" s="91">
        <v>0</v>
      </c>
      <c r="E22" s="91">
        <f t="shared" si="0"/>
        <v>3060585</v>
      </c>
    </row>
    <row r="23" spans="1:5" s="85" customFormat="1" ht="15.75" x14ac:dyDescent="0.25">
      <c r="A23" s="90" t="s">
        <v>262</v>
      </c>
      <c r="B23" s="91">
        <f>'5.kiadás'!J218</f>
        <v>0</v>
      </c>
      <c r="C23" s="91">
        <v>0</v>
      </c>
      <c r="D23" s="91">
        <v>0</v>
      </c>
      <c r="E23" s="91">
        <f t="shared" si="0"/>
        <v>0</v>
      </c>
    </row>
    <row r="24" spans="1:5" s="85" customFormat="1" ht="15.75" x14ac:dyDescent="0.25">
      <c r="A24" s="90" t="s">
        <v>264</v>
      </c>
      <c r="B24" s="91">
        <f>'5.kiadás'!J222</f>
        <v>30000</v>
      </c>
      <c r="C24" s="91">
        <v>0</v>
      </c>
      <c r="D24" s="91">
        <v>0</v>
      </c>
      <c r="E24" s="91">
        <f t="shared" si="0"/>
        <v>30000</v>
      </c>
    </row>
    <row r="25" spans="1:5" s="85" customFormat="1" ht="15.75" x14ac:dyDescent="0.25">
      <c r="A25" s="90" t="s">
        <v>265</v>
      </c>
      <c r="B25" s="91">
        <f>'5.kiadás'!J226</f>
        <v>18000</v>
      </c>
      <c r="C25" s="91"/>
      <c r="D25" s="91">
        <f>'5.kiadás'!K220</f>
        <v>0</v>
      </c>
      <c r="E25" s="91">
        <f t="shared" si="0"/>
        <v>18000</v>
      </c>
    </row>
    <row r="26" spans="1:5" s="85" customFormat="1" ht="15.75" x14ac:dyDescent="0.25">
      <c r="A26" s="90" t="s">
        <v>81</v>
      </c>
      <c r="B26" s="91">
        <f>'5.kiadás'!J235</f>
        <v>0</v>
      </c>
      <c r="C26" s="91">
        <v>0</v>
      </c>
      <c r="D26" s="91">
        <v>0</v>
      </c>
      <c r="E26" s="91">
        <f t="shared" si="0"/>
        <v>0</v>
      </c>
    </row>
    <row r="27" spans="1:5" s="85" customFormat="1" ht="14.45" customHeight="1" x14ac:dyDescent="0.25">
      <c r="A27" s="90" t="s">
        <v>144</v>
      </c>
      <c r="B27" s="91"/>
      <c r="C27" s="91">
        <f>'12.Idősek Otthona kiadás'!I8</f>
        <v>56704331</v>
      </c>
      <c r="D27" s="91">
        <v>0</v>
      </c>
      <c r="E27" s="91">
        <f t="shared" si="0"/>
        <v>56704331</v>
      </c>
    </row>
    <row r="28" spans="1:5" s="85" customFormat="1" ht="14.45" customHeight="1" x14ac:dyDescent="0.25">
      <c r="A28" s="90" t="s">
        <v>115</v>
      </c>
      <c r="B28" s="91">
        <f>'5.kiadás'!J238</f>
        <v>3599906</v>
      </c>
      <c r="C28" s="91"/>
      <c r="D28" s="91"/>
      <c r="E28" s="91">
        <f t="shared" si="0"/>
        <v>3599906</v>
      </c>
    </row>
    <row r="29" spans="1:5" ht="15.75" x14ac:dyDescent="0.25">
      <c r="A29" s="94" t="s">
        <v>145</v>
      </c>
      <c r="B29" s="95">
        <f>SUM(B7:B28)</f>
        <v>45155388</v>
      </c>
      <c r="C29" s="95">
        <f>SUM(C7:C28)</f>
        <v>59818672</v>
      </c>
      <c r="D29" s="95">
        <f>SUM(D7:D28)</f>
        <v>0</v>
      </c>
      <c r="E29" s="95">
        <f>SUM(E7:E28)</f>
        <v>104974060</v>
      </c>
    </row>
    <row r="30" spans="1:5" x14ac:dyDescent="0.2">
      <c r="E30" s="140"/>
    </row>
    <row r="31" spans="1:5" ht="14.25" x14ac:dyDescent="0.2">
      <c r="E31" s="141"/>
    </row>
    <row r="32" spans="1:5" x14ac:dyDescent="0.2">
      <c r="D32" s="140"/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eadings="1" gridLines="1"/>
  <pageMargins left="0.75" right="0.75" top="1" bottom="1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showGridLines="0" view="pageBreakPreview" topLeftCell="A10" zoomScale="120" zoomScaleNormal="110" zoomScaleSheetLayoutView="120" workbookViewId="0">
      <selection activeCell="A4" sqref="A4:H4"/>
    </sheetView>
  </sheetViews>
  <sheetFormatPr defaultColWidth="10.28515625" defaultRowHeight="15.75" x14ac:dyDescent="0.25"/>
  <cols>
    <col min="1" max="1" width="4.28515625" style="142" customWidth="1"/>
    <col min="2" max="2" width="51.28515625" style="142" customWidth="1"/>
    <col min="3" max="3" width="16.28515625" style="142" customWidth="1"/>
    <col min="4" max="4" width="16.5703125" style="142" customWidth="1"/>
    <col min="5" max="6" width="17.5703125" style="142" customWidth="1"/>
    <col min="7" max="7" width="16.140625" style="142" customWidth="1"/>
    <col min="8" max="8" width="13.140625" style="142" customWidth="1"/>
    <col min="9" max="16384" width="10.28515625" style="142"/>
  </cols>
  <sheetData>
    <row r="1" spans="1:9" x14ac:dyDescent="0.25">
      <c r="A1" s="409" t="s">
        <v>366</v>
      </c>
      <c r="B1" s="394"/>
      <c r="C1" s="394"/>
      <c r="D1" s="394"/>
      <c r="E1" s="394"/>
      <c r="F1" s="394"/>
      <c r="G1" s="394"/>
      <c r="H1" s="394"/>
    </row>
    <row r="2" spans="1:9" x14ac:dyDescent="0.25">
      <c r="A2" s="409"/>
      <c r="B2" s="409"/>
      <c r="C2" s="409"/>
      <c r="D2" s="409"/>
      <c r="E2" s="409"/>
      <c r="F2" s="409"/>
    </row>
    <row r="3" spans="1:9" ht="24" customHeight="1" x14ac:dyDescent="0.25">
      <c r="A3" s="410" t="s">
        <v>0</v>
      </c>
      <c r="B3" s="410"/>
      <c r="C3" s="410"/>
      <c r="D3" s="410"/>
      <c r="E3" s="410"/>
      <c r="F3" s="410"/>
      <c r="G3" s="394"/>
      <c r="H3" s="394"/>
    </row>
    <row r="4" spans="1:9" ht="24" customHeight="1" x14ac:dyDescent="0.25">
      <c r="A4" s="410" t="s">
        <v>279</v>
      </c>
      <c r="B4" s="410"/>
      <c r="C4" s="410"/>
      <c r="D4" s="410"/>
      <c r="E4" s="410"/>
      <c r="F4" s="410"/>
      <c r="G4" s="394"/>
      <c r="H4" s="394"/>
    </row>
    <row r="5" spans="1:9" x14ac:dyDescent="0.25">
      <c r="B5" s="143"/>
      <c r="C5" s="314"/>
      <c r="D5" s="314"/>
      <c r="E5" s="314"/>
      <c r="F5" s="314"/>
    </row>
    <row r="6" spans="1:9" ht="61.5" customHeight="1" x14ac:dyDescent="0.25">
      <c r="A6" s="411" t="s">
        <v>280</v>
      </c>
      <c r="B6" s="411"/>
      <c r="C6" s="318" t="s">
        <v>281</v>
      </c>
      <c r="D6" s="318" t="s">
        <v>282</v>
      </c>
      <c r="E6" s="318" t="s">
        <v>283</v>
      </c>
      <c r="F6" s="318" t="s">
        <v>284</v>
      </c>
      <c r="G6" s="319" t="s">
        <v>365</v>
      </c>
      <c r="H6" s="320" t="s">
        <v>364</v>
      </c>
    </row>
    <row r="7" spans="1:9" x14ac:dyDescent="0.25">
      <c r="A7" s="301" t="s">
        <v>7</v>
      </c>
      <c r="B7" s="315" t="s">
        <v>8</v>
      </c>
      <c r="C7" s="316">
        <v>50778671</v>
      </c>
      <c r="D7" s="316">
        <f>50762852+1244746</f>
        <v>52007598</v>
      </c>
      <c r="E7" s="316">
        <f>'2.bevétel'!F100+'11.Idősek Otthona bevétel'!F35</f>
        <v>45769135.399999999</v>
      </c>
      <c r="F7" s="316">
        <f>'2.bevétel'!G100+'11.Idősek Otthona bevétel'!G35</f>
        <v>60690259</v>
      </c>
      <c r="G7" s="316">
        <f>'2.bevétel'!H100+'11.Idősek Otthona bevétel'!H35</f>
        <v>60123971</v>
      </c>
      <c r="H7" s="317">
        <f t="shared" ref="H7:H12" si="0">G7/F7</f>
        <v>0.99066921101786698</v>
      </c>
    </row>
    <row r="8" spans="1:9" x14ac:dyDescent="0.25">
      <c r="A8" s="293" t="s">
        <v>9</v>
      </c>
      <c r="B8" s="289" t="s">
        <v>10</v>
      </c>
      <c r="C8" s="287">
        <v>9361284</v>
      </c>
      <c r="D8" s="287">
        <f>12185239</f>
        <v>12185239</v>
      </c>
      <c r="E8" s="287">
        <f>'2.bevétel'!F102</f>
        <v>9150000</v>
      </c>
      <c r="F8" s="287">
        <f>'2.bevétel'!G102</f>
        <v>10675151</v>
      </c>
      <c r="G8" s="287">
        <f>'2.bevétel'!H102</f>
        <v>9849976</v>
      </c>
      <c r="H8" s="288">
        <f t="shared" si="0"/>
        <v>0.92270132759714596</v>
      </c>
      <c r="I8" s="146"/>
    </row>
    <row r="9" spans="1:9" x14ac:dyDescent="0.25">
      <c r="A9" s="293" t="s">
        <v>11</v>
      </c>
      <c r="B9" s="289" t="s">
        <v>12</v>
      </c>
      <c r="C9" s="287">
        <v>20794513</v>
      </c>
      <c r="D9" s="287">
        <f>770361+22188893</f>
        <v>22959254</v>
      </c>
      <c r="E9" s="287">
        <f>'2.bevétel'!F103+'11.Idősek Otthona bevétel'!F36</f>
        <v>24851100</v>
      </c>
      <c r="F9" s="287">
        <f>'2.bevétel'!G103+'11.Idősek Otthona bevétel'!G36</f>
        <v>25414598</v>
      </c>
      <c r="G9" s="287">
        <f>'2.bevétel'!H103+'11.Idősek Otthona bevétel'!H36</f>
        <v>25202519</v>
      </c>
      <c r="H9" s="288">
        <f t="shared" si="0"/>
        <v>0.99165522901444281</v>
      </c>
      <c r="I9" s="146"/>
    </row>
    <row r="10" spans="1:9" x14ac:dyDescent="0.25">
      <c r="A10" s="293" t="s">
        <v>13</v>
      </c>
      <c r="B10" s="289" t="s">
        <v>14</v>
      </c>
      <c r="C10" s="290">
        <v>139000</v>
      </c>
      <c r="D10" s="290">
        <f>100000+0</f>
        <v>100000</v>
      </c>
      <c r="E10" s="290">
        <f>'2.bevétel'!F104</f>
        <v>5000</v>
      </c>
      <c r="F10" s="290">
        <f>'2.bevétel'!G104</f>
        <v>105000</v>
      </c>
      <c r="G10" s="291">
        <f>'2.bevétel'!H104</f>
        <v>100000</v>
      </c>
      <c r="H10" s="288">
        <f t="shared" si="0"/>
        <v>0.95238095238095233</v>
      </c>
      <c r="I10" s="146"/>
    </row>
    <row r="11" spans="1:9" x14ac:dyDescent="0.25">
      <c r="A11" s="296" t="s">
        <v>18</v>
      </c>
      <c r="B11" s="297" t="s">
        <v>19</v>
      </c>
      <c r="C11" s="298">
        <v>23611876</v>
      </c>
      <c r="D11" s="298">
        <f>24501009+2658193</f>
        <v>27159202</v>
      </c>
      <c r="E11" s="298">
        <f>'2.bevétel'!F105+'11.Idősek Otthona bevétel'!F37-'11.Idősek Otthona bevétel'!F24</f>
        <v>31351543</v>
      </c>
      <c r="F11" s="298">
        <f>'2.bevétel'!G105+'11.Idősek Otthona bevétel'!G37-'11.Idősek Otthona bevétel'!G33</f>
        <v>31878442</v>
      </c>
      <c r="G11" s="299">
        <f>'2.bevétel'!G105+'11.Idősek Otthona bevétel'!H37-'11.Idősek Otthona bevétel'!H33</f>
        <v>31878442</v>
      </c>
      <c r="H11" s="300">
        <f t="shared" si="0"/>
        <v>1</v>
      </c>
    </row>
    <row r="12" spans="1:9" x14ac:dyDescent="0.25">
      <c r="A12" s="305"/>
      <c r="B12" s="306" t="s">
        <v>285</v>
      </c>
      <c r="C12" s="307">
        <f>SUM(C7:C11)</f>
        <v>104685344</v>
      </c>
      <c r="D12" s="307">
        <f>SUM(D7:D11)</f>
        <v>114411293</v>
      </c>
      <c r="E12" s="307">
        <f>SUM(E7:E11)</f>
        <v>111126778.40000001</v>
      </c>
      <c r="F12" s="307">
        <f>SUM(F7:F11)</f>
        <v>128763450</v>
      </c>
      <c r="G12" s="307">
        <f>SUM(G7:G11)</f>
        <v>127154908</v>
      </c>
      <c r="H12" s="308">
        <f t="shared" si="0"/>
        <v>0.98750777491594077</v>
      </c>
    </row>
    <row r="13" spans="1:9" x14ac:dyDescent="0.25">
      <c r="A13" s="301"/>
      <c r="B13" s="302"/>
      <c r="C13" s="301"/>
      <c r="D13" s="301"/>
      <c r="E13" s="301"/>
      <c r="F13" s="301"/>
      <c r="G13" s="303"/>
      <c r="H13" s="304"/>
    </row>
    <row r="14" spans="1:9" x14ac:dyDescent="0.25">
      <c r="A14" s="293" t="s">
        <v>22</v>
      </c>
      <c r="B14" s="292" t="s">
        <v>150</v>
      </c>
      <c r="C14" s="287">
        <v>35609814</v>
      </c>
      <c r="D14" s="287">
        <f>13637168+26536719</f>
        <v>40173887</v>
      </c>
      <c r="E14" s="287">
        <f>'5.kiadás'!H252+'12.Idősek Otthona kiadás'!G55</f>
        <v>39848388</v>
      </c>
      <c r="F14" s="287">
        <f>'5.kiadás'!I252+'12.Idősek Otthona kiadás'!H55</f>
        <v>47344783</v>
      </c>
      <c r="G14" s="287">
        <f>'5.kiadás'!J252+'12.Idősek Otthona kiadás'!I55</f>
        <v>44447006</v>
      </c>
      <c r="H14" s="294">
        <f t="shared" ref="H14:H20" si="1">G14/F14</f>
        <v>0.93879416450171504</v>
      </c>
    </row>
    <row r="15" spans="1:9" x14ac:dyDescent="0.25">
      <c r="A15" s="293" t="s">
        <v>24</v>
      </c>
      <c r="B15" s="292" t="s">
        <v>286</v>
      </c>
      <c r="C15" s="287">
        <v>7989391</v>
      </c>
      <c r="D15" s="287">
        <f>2269178+5348154</f>
        <v>7617332</v>
      </c>
      <c r="E15" s="287">
        <f>'5.kiadás'!H253+'12.Idősek Otthona kiadás'!G56</f>
        <v>7279720.2599999998</v>
      </c>
      <c r="F15" s="287">
        <f>'5.kiadás'!I253+'12.Idősek Otthona kiadás'!H56</f>
        <v>8037887.4000000004</v>
      </c>
      <c r="G15" s="287">
        <f>'5.kiadás'!J253+'12.Idősek Otthona kiadás'!I56</f>
        <v>7765883</v>
      </c>
      <c r="H15" s="294">
        <f t="shared" si="1"/>
        <v>0.96615971505149467</v>
      </c>
    </row>
    <row r="16" spans="1:9" x14ac:dyDescent="0.25">
      <c r="A16" s="293" t="s">
        <v>26</v>
      </c>
      <c r="B16" s="292" t="s">
        <v>287</v>
      </c>
      <c r="C16" s="287">
        <v>24585373</v>
      </c>
      <c r="D16" s="287">
        <f>9158947+17648714</f>
        <v>26807661</v>
      </c>
      <c r="E16" s="287">
        <f>'5.kiadás'!H254+'12.Idősek Otthona kiadás'!G57</f>
        <v>33826523</v>
      </c>
      <c r="F16" s="287">
        <f>'5.kiadás'!I254+'12.Idősek Otthona kiadás'!H57</f>
        <v>37369901</v>
      </c>
      <c r="G16" s="287">
        <f>'5.kiadás'!J254+'12.Idősek Otthona kiadás'!I57</f>
        <v>32365686</v>
      </c>
      <c r="H16" s="294">
        <f t="shared" si="1"/>
        <v>0.86608969073800868</v>
      </c>
    </row>
    <row r="17" spans="1:8" x14ac:dyDescent="0.25">
      <c r="A17" s="293" t="s">
        <v>28</v>
      </c>
      <c r="B17" s="292" t="s">
        <v>288</v>
      </c>
      <c r="C17" s="287">
        <v>1677252</v>
      </c>
      <c r="D17" s="287">
        <f>1357467+0</f>
        <v>1357467</v>
      </c>
      <c r="E17" s="287">
        <f>'5.kiadás'!H255</f>
        <v>2915000</v>
      </c>
      <c r="F17" s="287">
        <f>'5.kiadás'!I255</f>
        <v>3313067</v>
      </c>
      <c r="G17" s="287">
        <f>'5.kiadás'!J255</f>
        <v>2743067</v>
      </c>
      <c r="H17" s="294">
        <f t="shared" si="1"/>
        <v>0.82795397738711596</v>
      </c>
    </row>
    <row r="18" spans="1:8" x14ac:dyDescent="0.25">
      <c r="A18" s="293" t="s">
        <v>30</v>
      </c>
      <c r="B18" s="295" t="s">
        <v>31</v>
      </c>
      <c r="C18" s="287">
        <v>4027209</v>
      </c>
      <c r="D18" s="287">
        <f>5336212+0</f>
        <v>5336212</v>
      </c>
      <c r="E18" s="287">
        <v>18760963</v>
      </c>
      <c r="F18" s="287">
        <f>'5.kiadás'!I256</f>
        <v>22279438</v>
      </c>
      <c r="G18" s="287">
        <f>'5.kiadás'!J256</f>
        <v>6717916</v>
      </c>
      <c r="H18" s="294">
        <f t="shared" si="1"/>
        <v>0.30152986803347553</v>
      </c>
    </row>
    <row r="19" spans="1:8" x14ac:dyDescent="0.25">
      <c r="A19" s="296" t="s">
        <v>289</v>
      </c>
      <c r="B19" s="309" t="s">
        <v>38</v>
      </c>
      <c r="C19" s="310">
        <v>3578891</v>
      </c>
      <c r="D19" s="310">
        <v>3740106</v>
      </c>
      <c r="E19" s="310">
        <v>4834134</v>
      </c>
      <c r="F19" s="310">
        <f>'5.kiadás'!I259-30922255</f>
        <v>4708324</v>
      </c>
      <c r="G19" s="310">
        <f>'5.kiadás'!J259-'5.kiadás'!J55</f>
        <v>3593096</v>
      </c>
      <c r="H19" s="311">
        <f t="shared" si="1"/>
        <v>0.76313694639536278</v>
      </c>
    </row>
    <row r="20" spans="1:8" x14ac:dyDescent="0.25">
      <c r="A20" s="305"/>
      <c r="B20" s="306" t="s">
        <v>290</v>
      </c>
      <c r="C20" s="312">
        <f>SUM(C14:C19)</f>
        <v>77467930</v>
      </c>
      <c r="D20" s="312">
        <f>SUM(D14:D19)</f>
        <v>85032665</v>
      </c>
      <c r="E20" s="312">
        <f>SUM(E14:E19)</f>
        <v>107464728.25999999</v>
      </c>
      <c r="F20" s="312">
        <f>SUM(F14:F19)</f>
        <v>123053400.40000001</v>
      </c>
      <c r="G20" s="312">
        <f>SUM(G14:G19)</f>
        <v>97632654</v>
      </c>
      <c r="H20" s="313">
        <f t="shared" si="1"/>
        <v>0.79341695298653436</v>
      </c>
    </row>
    <row r="22" spans="1:8" x14ac:dyDescent="0.25">
      <c r="D22" s="153"/>
    </row>
  </sheetData>
  <sheetProtection selectLockedCells="1" selectUnlockedCells="1"/>
  <mergeCells count="5">
    <mergeCell ref="A1:H1"/>
    <mergeCell ref="A3:H3"/>
    <mergeCell ref="A4:H4"/>
    <mergeCell ref="A2:F2"/>
    <mergeCell ref="A6:B6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53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1"/>
  <sheetViews>
    <sheetView view="pageBreakPreview" topLeftCell="A7" zoomScale="120" zoomScaleNormal="120" zoomScaleSheetLayoutView="120" workbookViewId="0">
      <selection activeCell="C14" sqref="C14"/>
    </sheetView>
  </sheetViews>
  <sheetFormatPr defaultColWidth="10.28515625" defaultRowHeight="15.75" x14ac:dyDescent="0.25"/>
  <cols>
    <col min="1" max="1" width="3.42578125" style="142" customWidth="1"/>
    <col min="2" max="2" width="51.5703125" style="142" customWidth="1"/>
    <col min="3" max="3" width="17.7109375" style="142" customWidth="1"/>
    <col min="4" max="4" width="17.28515625" style="142" customWidth="1"/>
    <col min="5" max="6" width="15.7109375" style="142" customWidth="1"/>
    <col min="7" max="7" width="14.85546875" style="142" customWidth="1"/>
    <col min="8" max="8" width="15" style="142" customWidth="1"/>
    <col min="9" max="16384" width="10.28515625" style="142"/>
  </cols>
  <sheetData>
    <row r="1" spans="1:8" x14ac:dyDescent="0.25">
      <c r="A1" s="409" t="s">
        <v>621</v>
      </c>
      <c r="B1" s="409"/>
      <c r="C1" s="409"/>
      <c r="D1" s="409"/>
      <c r="E1" s="409"/>
      <c r="F1" s="409"/>
      <c r="G1" s="394"/>
      <c r="H1" s="394"/>
    </row>
    <row r="2" spans="1:8" x14ac:dyDescent="0.25">
      <c r="A2" s="409"/>
      <c r="B2" s="409"/>
      <c r="C2" s="409"/>
      <c r="D2" s="409"/>
      <c r="E2" s="409"/>
      <c r="F2" s="409"/>
    </row>
    <row r="3" spans="1:8" x14ac:dyDescent="0.25">
      <c r="A3" s="154"/>
      <c r="B3" s="154"/>
      <c r="C3" s="154"/>
      <c r="D3" s="154"/>
    </row>
    <row r="4" spans="1:8" ht="19.5" customHeight="1" x14ac:dyDescent="0.25">
      <c r="A4" s="412" t="s">
        <v>270</v>
      </c>
      <c r="B4" s="412"/>
      <c r="C4" s="412"/>
      <c r="D4" s="412"/>
      <c r="E4" s="394"/>
      <c r="F4" s="394"/>
      <c r="G4" s="394"/>
      <c r="H4" s="394"/>
    </row>
    <row r="5" spans="1:8" x14ac:dyDescent="0.25">
      <c r="A5" s="412" t="s">
        <v>291</v>
      </c>
      <c r="B5" s="412"/>
      <c r="C5" s="412"/>
      <c r="D5" s="412"/>
      <c r="E5" s="394"/>
      <c r="F5" s="394"/>
      <c r="G5" s="394"/>
      <c r="H5" s="394"/>
    </row>
    <row r="6" spans="1:8" ht="18.600000000000001" customHeight="1" x14ac:dyDescent="0.25">
      <c r="A6" s="143"/>
      <c r="B6" s="143"/>
      <c r="C6" s="155"/>
      <c r="D6" s="155"/>
      <c r="E6" s="155"/>
      <c r="F6" s="155"/>
    </row>
    <row r="7" spans="1:8" ht="66.599999999999994" customHeight="1" x14ac:dyDescent="0.25">
      <c r="A7" s="413" t="s">
        <v>280</v>
      </c>
      <c r="B7" s="413"/>
      <c r="C7" s="144" t="s">
        <v>281</v>
      </c>
      <c r="D7" s="144" t="s">
        <v>282</v>
      </c>
      <c r="E7" s="144" t="s">
        <v>292</v>
      </c>
      <c r="F7" s="144" t="s">
        <v>293</v>
      </c>
      <c r="G7" s="319" t="s">
        <v>365</v>
      </c>
      <c r="H7" s="320" t="s">
        <v>364</v>
      </c>
    </row>
    <row r="8" spans="1:8" x14ac:dyDescent="0.25">
      <c r="A8" s="146" t="s">
        <v>16</v>
      </c>
      <c r="B8" s="145" t="s">
        <v>17</v>
      </c>
      <c r="C8" s="156">
        <v>749360</v>
      </c>
      <c r="D8" s="156">
        <f>5805012</f>
        <v>5805012</v>
      </c>
      <c r="E8" s="156">
        <f>'3.bevétel jogc.'!F30</f>
        <v>0</v>
      </c>
      <c r="F8" s="156">
        <f>'2.bevétel'!G101</f>
        <v>11988125</v>
      </c>
      <c r="G8" s="156">
        <f>'2.bevétel'!H101</f>
        <v>11988125</v>
      </c>
      <c r="H8" s="321">
        <f>G8/F8</f>
        <v>1</v>
      </c>
    </row>
    <row r="9" spans="1:8" x14ac:dyDescent="0.25">
      <c r="A9" s="146" t="s">
        <v>294</v>
      </c>
      <c r="B9" s="145" t="s">
        <v>295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321" t="s">
        <v>363</v>
      </c>
    </row>
    <row r="10" spans="1:8" x14ac:dyDescent="0.25">
      <c r="A10" s="146" t="s">
        <v>296</v>
      </c>
      <c r="B10" s="145" t="s">
        <v>297</v>
      </c>
      <c r="C10" s="147">
        <v>4817977</v>
      </c>
      <c r="D10" s="147">
        <v>0</v>
      </c>
      <c r="E10" s="147">
        <v>0</v>
      </c>
      <c r="F10" s="147">
        <v>0</v>
      </c>
      <c r="G10" s="147">
        <v>0</v>
      </c>
      <c r="H10" s="321" t="s">
        <v>363</v>
      </c>
    </row>
    <row r="11" spans="1:8" x14ac:dyDescent="0.25">
      <c r="A11" s="148"/>
      <c r="B11" s="149" t="s">
        <v>298</v>
      </c>
      <c r="C11" s="157">
        <f>SUM(C8:C10)</f>
        <v>5567337</v>
      </c>
      <c r="D11" s="157">
        <f>SUM(D8:D10)</f>
        <v>5805012</v>
      </c>
      <c r="E11" s="157">
        <f>SUM(E8:E10)</f>
        <v>0</v>
      </c>
      <c r="F11" s="157">
        <f>SUM(F8:F10)</f>
        <v>11988125</v>
      </c>
      <c r="G11" s="157">
        <f>SUM(G8:G10)</f>
        <v>11988125</v>
      </c>
      <c r="H11" s="322">
        <f t="shared" ref="H11" si="0">G11/F11</f>
        <v>1</v>
      </c>
    </row>
    <row r="12" spans="1:8" x14ac:dyDescent="0.25">
      <c r="B12" s="150"/>
      <c r="C12" s="158"/>
    </row>
    <row r="13" spans="1:8" x14ac:dyDescent="0.25">
      <c r="A13" s="146" t="s">
        <v>33</v>
      </c>
      <c r="B13" s="151" t="s">
        <v>34</v>
      </c>
      <c r="C13" s="147">
        <v>9067029</v>
      </c>
      <c r="D13" s="147">
        <v>336001</v>
      </c>
      <c r="E13" s="147">
        <v>2662050</v>
      </c>
      <c r="F13" s="147">
        <f>'5.kiadás'!I257</f>
        <v>6033455.5</v>
      </c>
      <c r="G13" s="147">
        <f>'5.kiadás'!J257</f>
        <v>3748406</v>
      </c>
      <c r="H13" s="323">
        <f>G13/F13</f>
        <v>0.62127018256785016</v>
      </c>
    </row>
    <row r="14" spans="1:8" x14ac:dyDescent="0.25">
      <c r="A14" s="146" t="s">
        <v>35</v>
      </c>
      <c r="B14" s="151" t="s">
        <v>36</v>
      </c>
      <c r="C14" s="147">
        <v>295240</v>
      </c>
      <c r="D14" s="147">
        <v>6859900</v>
      </c>
      <c r="E14" s="147">
        <f>'5.kiadás'!H258</f>
        <v>1000000</v>
      </c>
      <c r="F14" s="147">
        <f>'5.kiadás'!I258</f>
        <v>11664718.859999999</v>
      </c>
      <c r="G14" s="147">
        <f>'5.kiadás'!J258+'12.Idősek Otthona kiadás'!I58</f>
        <v>3593000</v>
      </c>
      <c r="H14" s="323">
        <f>'5.kiadás'!K258</f>
        <v>0.27218830030164998</v>
      </c>
    </row>
    <row r="15" spans="1:8" x14ac:dyDescent="0.25">
      <c r="A15" s="146" t="s">
        <v>299</v>
      </c>
      <c r="B15" s="151" t="s">
        <v>300</v>
      </c>
      <c r="C15" s="147">
        <v>27413</v>
      </c>
      <c r="D15" s="147">
        <v>0</v>
      </c>
      <c r="E15" s="147">
        <v>0</v>
      </c>
      <c r="F15" s="147">
        <v>0</v>
      </c>
      <c r="G15" s="147">
        <v>0</v>
      </c>
      <c r="H15" s="323">
        <v>0</v>
      </c>
    </row>
    <row r="16" spans="1:8" x14ac:dyDescent="0.25">
      <c r="A16" s="148"/>
      <c r="B16" s="149" t="s">
        <v>301</v>
      </c>
      <c r="C16" s="152">
        <f t="shared" ref="C16:H16" si="1">SUM(C13:C15)</f>
        <v>9389682</v>
      </c>
      <c r="D16" s="152">
        <f t="shared" si="1"/>
        <v>7195901</v>
      </c>
      <c r="E16" s="152">
        <f t="shared" si="1"/>
        <v>3662050</v>
      </c>
      <c r="F16" s="152">
        <f t="shared" si="1"/>
        <v>17698174.359999999</v>
      </c>
      <c r="G16" s="152">
        <f t="shared" si="1"/>
        <v>7341406</v>
      </c>
      <c r="H16" s="324">
        <f t="shared" si="1"/>
        <v>0.89345848286950014</v>
      </c>
    </row>
    <row r="17" spans="1:8" x14ac:dyDescent="0.25">
      <c r="A17" s="148"/>
      <c r="B17" s="149"/>
      <c r="C17" s="152"/>
      <c r="D17" s="152"/>
      <c r="E17" s="152"/>
      <c r="F17" s="152"/>
      <c r="G17" s="152"/>
      <c r="H17" s="152"/>
    </row>
    <row r="18" spans="1:8" ht="45.75" customHeight="1" x14ac:dyDescent="0.25">
      <c r="A18" s="159"/>
      <c r="B18" s="160" t="s">
        <v>302</v>
      </c>
      <c r="C18" s="161">
        <f>C11+'7.Táj.adatok műk.'!C12</f>
        <v>110252681</v>
      </c>
      <c r="D18" s="161">
        <f>'7.Táj.adatok műk.'!D12+D11</f>
        <v>120216305</v>
      </c>
      <c r="E18" s="161">
        <f>SUM('7.Táj.adatok műk.'!E12+'8.Táj.adatok felh.'!E11)</f>
        <v>111126778.40000001</v>
      </c>
      <c r="F18" s="161">
        <f>SUM('7.Táj.adatok műk.'!F12+'8.Táj.adatok felh.'!F11)</f>
        <v>140751575</v>
      </c>
      <c r="G18" s="161">
        <f>SUM('7.Táj.adatok műk.'!G12+'8.Táj.adatok felh.'!G11)</f>
        <v>139143033</v>
      </c>
      <c r="H18" s="325">
        <f>G18/F18</f>
        <v>0.98857176553796999</v>
      </c>
    </row>
    <row r="19" spans="1:8" ht="44.25" customHeight="1" x14ac:dyDescent="0.25">
      <c r="A19" s="159"/>
      <c r="B19" s="160" t="s">
        <v>303</v>
      </c>
      <c r="C19" s="161">
        <f>C16+'7.Táj.adatok műk.'!C20</f>
        <v>86857612</v>
      </c>
      <c r="D19" s="161">
        <f>'7.Táj.adatok műk.'!D20+D16</f>
        <v>92228566</v>
      </c>
      <c r="E19" s="161">
        <f>SUM('7.Táj.adatok műk.'!E20+'8.Táj.adatok felh.'!E16)</f>
        <v>111126778.25999999</v>
      </c>
      <c r="F19" s="161">
        <f>SUM('7.Táj.adatok műk.'!F20+'8.Táj.adatok felh.'!F16)</f>
        <v>140751574.75999999</v>
      </c>
      <c r="G19" s="161">
        <f>SUM('7.Táj.adatok műk.'!G20+'8.Táj.adatok felh.'!G16)</f>
        <v>104974060</v>
      </c>
      <c r="H19" s="325">
        <f>G19/F19</f>
        <v>0.74581090960434815</v>
      </c>
    </row>
    <row r="20" spans="1:8" x14ac:dyDescent="0.25">
      <c r="D20" s="153"/>
      <c r="F20" s="153"/>
    </row>
    <row r="21" spans="1:8" x14ac:dyDescent="0.25">
      <c r="D21" s="153"/>
    </row>
  </sheetData>
  <sheetProtection selectLockedCells="1" selectUnlockedCells="1"/>
  <mergeCells count="5">
    <mergeCell ref="A1:H1"/>
    <mergeCell ref="A4:H4"/>
    <mergeCell ref="A5:H5"/>
    <mergeCell ref="A2:F2"/>
    <mergeCell ref="A7:B7"/>
  </mergeCells>
  <printOptions headings="1" gridLines="1"/>
  <pageMargins left="0.74791666666666667" right="0.2361111111111111" top="0.98402777777777772" bottom="0.98402777777777772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9"/>
  <sheetViews>
    <sheetView view="pageBreakPreview" zoomScale="120" zoomScaleNormal="120" zoomScaleSheetLayoutView="120" workbookViewId="0">
      <selection activeCell="C10" sqref="C10"/>
    </sheetView>
  </sheetViews>
  <sheetFormatPr defaultColWidth="9.140625" defaultRowHeight="15" x14ac:dyDescent="0.2"/>
  <cols>
    <col min="1" max="1" width="36.140625" style="162" customWidth="1"/>
    <col min="2" max="2" width="33.5703125" style="162" customWidth="1"/>
    <col min="3" max="4" width="15.85546875" style="162" customWidth="1"/>
    <col min="5" max="5" width="13.28515625" style="162" customWidth="1"/>
    <col min="6" max="6" width="13.7109375" style="162" customWidth="1"/>
    <col min="7" max="16384" width="9.140625" style="162"/>
  </cols>
  <sheetData>
    <row r="1" spans="1:6" ht="15.75" x14ac:dyDescent="0.2">
      <c r="A1" s="417" t="s">
        <v>622</v>
      </c>
      <c r="B1" s="417"/>
      <c r="C1" s="417"/>
      <c r="D1" s="394"/>
      <c r="E1" s="394"/>
      <c r="F1" s="394"/>
    </row>
    <row r="2" spans="1:6" ht="15.75" x14ac:dyDescent="0.2">
      <c r="A2" s="417"/>
      <c r="B2" s="417"/>
      <c r="C2" s="417"/>
      <c r="D2" s="163"/>
    </row>
    <row r="3" spans="1:6" ht="18" customHeight="1" x14ac:dyDescent="0.2">
      <c r="A3" s="417"/>
      <c r="B3" s="417"/>
      <c r="C3" s="417"/>
      <c r="D3" s="163"/>
    </row>
    <row r="4" spans="1:6" ht="24" customHeight="1" x14ac:dyDescent="0.2">
      <c r="A4" s="395" t="s">
        <v>0</v>
      </c>
      <c r="B4" s="395"/>
      <c r="C4" s="395"/>
      <c r="D4" s="394"/>
      <c r="E4" s="394"/>
      <c r="F4" s="394"/>
    </row>
    <row r="5" spans="1:6" ht="30" customHeight="1" x14ac:dyDescent="0.2">
      <c r="A5" s="395" t="s">
        <v>304</v>
      </c>
      <c r="B5" s="395"/>
      <c r="C5" s="395"/>
      <c r="D5" s="394"/>
      <c r="E5" s="394"/>
      <c r="F5" s="394"/>
    </row>
    <row r="6" spans="1:6" ht="17.25" customHeight="1" x14ac:dyDescent="0.2">
      <c r="A6" s="417" t="s">
        <v>305</v>
      </c>
      <c r="B6" s="417"/>
      <c r="C6" s="417"/>
      <c r="D6" s="418"/>
      <c r="E6" s="418"/>
      <c r="F6" s="418"/>
    </row>
    <row r="7" spans="1:6" ht="52.15" customHeight="1" x14ac:dyDescent="0.2">
      <c r="A7" s="419" t="s">
        <v>280</v>
      </c>
      <c r="B7" s="419"/>
      <c r="C7" s="33" t="s">
        <v>42</v>
      </c>
      <c r="D7" s="33" t="s">
        <v>42</v>
      </c>
      <c r="E7" s="320" t="s">
        <v>365</v>
      </c>
      <c r="F7" s="320" t="s">
        <v>364</v>
      </c>
    </row>
    <row r="8" spans="1:6" ht="31.15" customHeight="1" x14ac:dyDescent="0.2">
      <c r="A8" s="419"/>
      <c r="B8" s="419"/>
      <c r="C8" s="342" t="s">
        <v>4</v>
      </c>
      <c r="D8" s="343" t="s">
        <v>5</v>
      </c>
      <c r="E8" s="264" t="s">
        <v>353</v>
      </c>
      <c r="F8" s="264" t="s">
        <v>352</v>
      </c>
    </row>
    <row r="9" spans="1:6" ht="27" customHeight="1" x14ac:dyDescent="0.25">
      <c r="A9" s="414" t="s">
        <v>261</v>
      </c>
      <c r="B9" s="265" t="s">
        <v>306</v>
      </c>
      <c r="C9" s="344">
        <v>0</v>
      </c>
      <c r="D9" s="344">
        <f>'5.kiadás'!I248</f>
        <v>8489718.8599999994</v>
      </c>
      <c r="E9" s="344">
        <f>'5.kiadás'!J248</f>
        <v>0</v>
      </c>
      <c r="F9" s="341" t="s">
        <v>363</v>
      </c>
    </row>
    <row r="10" spans="1:6" ht="27" customHeight="1" x14ac:dyDescent="0.25">
      <c r="A10" s="414"/>
      <c r="B10" s="265"/>
      <c r="C10" s="344">
        <v>0</v>
      </c>
      <c r="D10" s="344">
        <v>0</v>
      </c>
      <c r="E10" s="344">
        <v>0</v>
      </c>
      <c r="F10" s="341" t="s">
        <v>363</v>
      </c>
    </row>
    <row r="11" spans="1:6" ht="30" customHeight="1" x14ac:dyDescent="0.25">
      <c r="A11" s="415" t="s">
        <v>307</v>
      </c>
      <c r="B11" s="416"/>
      <c r="C11" s="345">
        <f>SUM(C9:C10)</f>
        <v>0</v>
      </c>
      <c r="D11" s="345">
        <f>SUM(D9:D10)</f>
        <v>8489718.8599999994</v>
      </c>
      <c r="E11" s="345">
        <f>SUM(E9:E10)</f>
        <v>0</v>
      </c>
      <c r="F11" s="341" t="s">
        <v>363</v>
      </c>
    </row>
    <row r="14" spans="1:6" s="164" customFormat="1" x14ac:dyDescent="0.2"/>
    <row r="15" spans="1:6" s="164" customFormat="1" ht="15.75" x14ac:dyDescent="0.25">
      <c r="C15" s="165"/>
      <c r="D15" s="165"/>
    </row>
    <row r="16" spans="1:6" s="164" customFormat="1" x14ac:dyDescent="0.2"/>
    <row r="17" s="164" customFormat="1" x14ac:dyDescent="0.2"/>
    <row r="18" s="164" customFormat="1" x14ac:dyDescent="0.2"/>
    <row r="19" s="164" customFormat="1" x14ac:dyDescent="0.2"/>
    <row r="20" s="164" customFormat="1" x14ac:dyDescent="0.2"/>
    <row r="21" s="164" customFormat="1" x14ac:dyDescent="0.2"/>
    <row r="22" s="164" customFormat="1" x14ac:dyDescent="0.2"/>
    <row r="23" s="164" customFormat="1" x14ac:dyDescent="0.2"/>
    <row r="24" s="164" customFormat="1" x14ac:dyDescent="0.2"/>
    <row r="25" s="164" customFormat="1" x14ac:dyDescent="0.2"/>
    <row r="26" s="164" customFormat="1" x14ac:dyDescent="0.2"/>
    <row r="27" s="164" customFormat="1" x14ac:dyDescent="0.2"/>
    <row r="28" s="164" customFormat="1" x14ac:dyDescent="0.2"/>
    <row r="29" s="164" customFormat="1" x14ac:dyDescent="0.2"/>
    <row r="30" s="164" customFormat="1" x14ac:dyDescent="0.2"/>
    <row r="31" s="164" customFormat="1" x14ac:dyDescent="0.2"/>
    <row r="178" spans="3:4" ht="15.75" customHeight="1" x14ac:dyDescent="0.2">
      <c r="C178" s="166"/>
      <c r="D178" s="166"/>
    </row>
    <row r="179" spans="3:4" ht="15.75" customHeight="1" x14ac:dyDescent="0.2">
      <c r="C179" s="166"/>
      <c r="D179" s="166"/>
    </row>
  </sheetData>
  <sheetProtection selectLockedCells="1" selectUnlockedCells="1"/>
  <mergeCells count="9">
    <mergeCell ref="A9:A10"/>
    <mergeCell ref="A11:B11"/>
    <mergeCell ref="A2:C2"/>
    <mergeCell ref="A3:C3"/>
    <mergeCell ref="A1:F1"/>
    <mergeCell ref="A4:F4"/>
    <mergeCell ref="A5:F5"/>
    <mergeCell ref="A6:F6"/>
    <mergeCell ref="A7:B8"/>
  </mergeCells>
  <printOptions horizontalCentered="1" headings="1" gridLines="1"/>
  <pageMargins left="0.39374999999999999" right="0.39374999999999999" top="0.78749999999999998" bottom="0.78749999999999998" header="0.51180555555555551" footer="0.51180555555555551"/>
  <pageSetup paperSize="9" scale="7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15</vt:i4>
      </vt:variant>
    </vt:vector>
  </HeadingPairs>
  <TitlesOfParts>
    <vt:vector size="38" baseType="lpstr">
      <vt:lpstr>1.mérleg</vt:lpstr>
      <vt:lpstr>2.bevétel</vt:lpstr>
      <vt:lpstr>3.bevétel jogc.</vt:lpstr>
      <vt:lpstr>4.bevétel fel.</vt:lpstr>
      <vt:lpstr>5.kiadás</vt:lpstr>
      <vt:lpstr>6. kiadás fel.</vt:lpstr>
      <vt:lpstr>7.Táj.adatok műk.</vt:lpstr>
      <vt:lpstr>8.Táj.adatok felh.</vt:lpstr>
      <vt:lpstr>9.felújítás</vt:lpstr>
      <vt:lpstr>10. beruházás</vt:lpstr>
      <vt:lpstr>11.Idősek Otthona bevétel</vt:lpstr>
      <vt:lpstr>12.Idősek Otthona kiadás</vt:lpstr>
      <vt:lpstr>13. Idősek Otthona beruházás</vt:lpstr>
      <vt:lpstr>14.Mindszentkálla Önk.Maradvány</vt:lpstr>
      <vt:lpstr>15. Mindszentkálla Önk. Mérleg</vt:lpstr>
      <vt:lpstr>16.Mindszentkálla Önk.Eredmény</vt:lpstr>
      <vt:lpstr>17.Minszentkálla Önk. Tárgyi E.</vt:lpstr>
      <vt:lpstr>18.Minszenkálla Személyi jutt.</vt:lpstr>
      <vt:lpstr>19.Idősek Otthona Maradványkim.</vt:lpstr>
      <vt:lpstr>20. Idősek Otthona Mérleg</vt:lpstr>
      <vt:lpstr>21. Idősek Otthona Eredménykim.</vt:lpstr>
      <vt:lpstr>22. Idősek Otthona Tárgyi eszöz</vt:lpstr>
      <vt:lpstr>23.Idősek Otthona Személyi Jut.</vt:lpstr>
      <vt:lpstr>'10. beruházás'!Excel_BuiltIn_Print_Area</vt:lpstr>
      <vt:lpstr>'3.bevétel jogc.'!Excel_BuiltIn_Print_Area</vt:lpstr>
      <vt:lpstr>'9.felújítás'!Excel_BuiltIn_Print_Area</vt:lpstr>
      <vt:lpstr>Excel_BuiltIn_Print_Area_3_1</vt:lpstr>
      <vt:lpstr>'5.kiadás'!Nyomtatási_cím</vt:lpstr>
      <vt:lpstr>'1.mérleg'!Nyomtatási_terület</vt:lpstr>
      <vt:lpstr>'10. beruházás'!Nyomtatási_terület</vt:lpstr>
      <vt:lpstr>'11.Idősek Otthona bevétel'!Nyomtatási_terület</vt:lpstr>
      <vt:lpstr>'12.Idősek Otthona kiadás'!Nyomtatási_terület</vt:lpstr>
      <vt:lpstr>'13. Idősek Otthona beruházás'!Nyomtatási_terület</vt:lpstr>
      <vt:lpstr>'2.bevétel'!Nyomtatási_terület</vt:lpstr>
      <vt:lpstr>'3.bevétel jogc.'!Nyomtatási_terület</vt:lpstr>
      <vt:lpstr>'5.kiadás'!Nyomtatási_terület</vt:lpstr>
      <vt:lpstr>'6. kiadás fel.'!Nyomtatási_terület</vt:lpstr>
      <vt:lpstr>'9.felújítás'!Nyomtatási_terület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KFulopSzilvia</dc:creator>
  <cp:lastModifiedBy>HorvathTamasne</cp:lastModifiedBy>
  <cp:lastPrinted>2020-06-17T07:47:24Z</cp:lastPrinted>
  <dcterms:created xsi:type="dcterms:W3CDTF">2020-06-08T11:59:44Z</dcterms:created>
  <dcterms:modified xsi:type="dcterms:W3CDTF">2020-06-17T07:47:36Z</dcterms:modified>
</cp:coreProperties>
</file>