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ERVER2\kozos\RENDELETEK\Mindszentkálla\2020\"/>
    </mc:Choice>
  </mc:AlternateContent>
  <xr:revisionPtr revIDLastSave="0" documentId="13_ncr:1_{BF903724-6382-4689-9DF9-E998DF10D3F9}" xr6:coauthVersionLast="45" xr6:coauthVersionMax="45" xr10:uidLastSave="{00000000-0000-0000-0000-000000000000}"/>
  <bookViews>
    <workbookView xWindow="-120" yWindow="-120" windowWidth="29040" windowHeight="15840" tabRatio="876" activeTab="7" xr2:uid="{00000000-000D-0000-FFFF-FFFF00000000}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2" r:id="rId12"/>
    <sheet name="13. Idősek Otthona beruházás" sheetId="13" r:id="rId13"/>
  </sheets>
  <definedNames>
    <definedName name="Excel_BuiltIn_Print_Area" localSheetId="9">'10. beruházás'!$A$1:$A$15</definedName>
    <definedName name="Excel_BuiltIn_Print_Area" localSheetId="2">'3.bevétel jogc.'!$A$2:$E$59</definedName>
    <definedName name="Excel_BuiltIn_Print_Area" localSheetId="8">'9.felújítás'!$A$2:$C$12</definedName>
    <definedName name="Excel_BuiltIn_Print_Area_1_1">#REF!</definedName>
    <definedName name="Excel_BuiltIn_Print_Area_2_1">#REF!</definedName>
    <definedName name="Excel_BuiltIn_Print_Area_3_1">'5.kiadás'!$A$4:$F$77</definedName>
    <definedName name="_xlnm.Print_Titles" localSheetId="4">'5.kiadás'!$4:$9</definedName>
    <definedName name="_xlnm.Print_Area" localSheetId="0">'1.mérleg'!$A$1:$D$29</definedName>
    <definedName name="_xlnm.Print_Area" localSheetId="9">'10. beruházás'!$A$1:$C$15</definedName>
    <definedName name="_xlnm.Print_Area" localSheetId="10">'11.Idősek Otthona bevétel'!$A$1:$G$36</definedName>
    <definedName name="_xlnm.Print_Area" localSheetId="11">'12.Idősek Otthona kiadás'!$A$1:$H$58</definedName>
    <definedName name="_xlnm.Print_Area" localSheetId="12">'13. Idősek Otthona beruházás'!$A$1:$C$11</definedName>
    <definedName name="_xlnm.Print_Area" localSheetId="1">'2.bevétel'!$A$1:$G$101</definedName>
    <definedName name="_xlnm.Print_Area" localSheetId="2">'3.bevétel jogc.'!$A$1:$G$59</definedName>
    <definedName name="_xlnm.Print_Area" localSheetId="4">'5.kiadás'!$A$1:$I$247</definedName>
    <definedName name="_xlnm.Print_Area" localSheetId="5">'6. kiadás fel.'!$A$1:$E$26</definedName>
    <definedName name="_xlnm.Print_Area" localSheetId="8">'9.felújítás'!$A$1:$D$12</definedName>
  </definedNames>
  <calcPr calcId="181029"/>
</workbook>
</file>

<file path=xl/calcChain.xml><?xml version="1.0" encoding="utf-8"?>
<calcChain xmlns="http://schemas.openxmlformats.org/spreadsheetml/2006/main">
  <c r="D10" i="9" l="1"/>
  <c r="I236" i="5"/>
  <c r="I237" i="5"/>
  <c r="D12" i="9"/>
  <c r="I51" i="5" l="1"/>
  <c r="I96" i="5"/>
  <c r="G13" i="2" l="1"/>
  <c r="G97" i="2" s="1"/>
  <c r="F9" i="8" s="1"/>
  <c r="D13" i="1" s="1"/>
  <c r="F13" i="2"/>
  <c r="H46" i="12"/>
  <c r="H45" i="12" s="1"/>
  <c r="G76" i="2" l="1"/>
  <c r="G67" i="2" l="1"/>
  <c r="G29" i="3" s="1"/>
  <c r="I189" i="5"/>
  <c r="I188" i="5" s="1"/>
  <c r="I186" i="5"/>
  <c r="I185" i="5" s="1"/>
  <c r="H186" i="5"/>
  <c r="H185" i="5" s="1"/>
  <c r="H188" i="5"/>
  <c r="I234" i="5" l="1"/>
  <c r="I233" i="5"/>
  <c r="I227" i="5"/>
  <c r="I229" i="5"/>
  <c r="H228" i="5"/>
  <c r="H227" i="5" s="1"/>
  <c r="H226" i="5" s="1"/>
  <c r="I226" i="5" l="1"/>
  <c r="I56" i="5" l="1"/>
  <c r="I216" i="5" l="1"/>
  <c r="H51" i="12" l="1"/>
  <c r="G31" i="11" l="1"/>
  <c r="G65" i="2" l="1"/>
  <c r="G61" i="2"/>
  <c r="G22" i="3" s="1"/>
  <c r="G59" i="2"/>
  <c r="B11" i="13"/>
  <c r="H50" i="12"/>
  <c r="H44" i="12" s="1"/>
  <c r="H41" i="12"/>
  <c r="H57" i="12" s="1"/>
  <c r="H37" i="12"/>
  <c r="H34" i="12"/>
  <c r="H28" i="12"/>
  <c r="H25" i="12"/>
  <c r="H22" i="12"/>
  <c r="H14" i="12"/>
  <c r="H10" i="12" s="1"/>
  <c r="H9" i="12" s="1"/>
  <c r="G29" i="11"/>
  <c r="G28" i="11" s="1"/>
  <c r="G27" i="11" s="1"/>
  <c r="G24" i="11"/>
  <c r="G23" i="11" s="1"/>
  <c r="G19" i="11"/>
  <c r="G18" i="11" s="1"/>
  <c r="G14" i="11"/>
  <c r="G34" i="11" s="1"/>
  <c r="G11" i="11"/>
  <c r="G10" i="11" s="1"/>
  <c r="C9" i="10"/>
  <c r="I231" i="5"/>
  <c r="I225" i="5" s="1"/>
  <c r="B25" i="6" s="1"/>
  <c r="I223" i="5"/>
  <c r="I222" i="5" s="1"/>
  <c r="B23" i="6" s="1"/>
  <c r="I220" i="5"/>
  <c r="I218" i="5"/>
  <c r="I211" i="5"/>
  <c r="I210" i="5" s="1"/>
  <c r="I209" i="5" s="1"/>
  <c r="B21" i="6" s="1"/>
  <c r="I207" i="5"/>
  <c r="I206" i="5" s="1"/>
  <c r="I205" i="5" s="1"/>
  <c r="B20" i="6" s="1"/>
  <c r="I204" i="5"/>
  <c r="I202" i="5"/>
  <c r="I200" i="5"/>
  <c r="I198" i="5"/>
  <c r="I194" i="5" s="1"/>
  <c r="I192" i="5"/>
  <c r="I191" i="5" s="1"/>
  <c r="I182" i="5"/>
  <c r="I178" i="5"/>
  <c r="I176" i="5"/>
  <c r="I175" i="5" s="1"/>
  <c r="I173" i="5"/>
  <c r="I172" i="5" s="1"/>
  <c r="I169" i="5"/>
  <c r="I168" i="5" s="1"/>
  <c r="I166" i="5"/>
  <c r="I163" i="5"/>
  <c r="I159" i="5"/>
  <c r="I158" i="5" s="1"/>
  <c r="I242" i="5" s="1"/>
  <c r="F18" i="7" s="1"/>
  <c r="D23" i="1" s="1"/>
  <c r="I156" i="5"/>
  <c r="I154" i="5"/>
  <c r="I153" i="5" s="1"/>
  <c r="I151" i="5"/>
  <c r="I147" i="5"/>
  <c r="I144" i="5" s="1"/>
  <c r="I143" i="5"/>
  <c r="I142" i="5" s="1"/>
  <c r="I140" i="5"/>
  <c r="I139" i="5" s="1"/>
  <c r="I138" i="5" s="1"/>
  <c r="I135" i="5"/>
  <c r="I132" i="5"/>
  <c r="I130" i="5" s="1"/>
  <c r="I128" i="5"/>
  <c r="I125" i="5"/>
  <c r="I240" i="5" s="1"/>
  <c r="I120" i="5"/>
  <c r="I119" i="5" s="1"/>
  <c r="I114" i="5"/>
  <c r="I113" i="5" s="1"/>
  <c r="I108" i="5"/>
  <c r="I106" i="5"/>
  <c r="I103" i="5"/>
  <c r="I101" i="5"/>
  <c r="I94" i="5"/>
  <c r="I92" i="5"/>
  <c r="I89" i="5" s="1"/>
  <c r="I87" i="5"/>
  <c r="I86" i="5" s="1"/>
  <c r="I83" i="5"/>
  <c r="I81" i="5" s="1"/>
  <c r="I80" i="5"/>
  <c r="I78" i="5" s="1"/>
  <c r="C12" i="10" s="1"/>
  <c r="C11" i="10" s="1"/>
  <c r="C15" i="10" s="1"/>
  <c r="I76" i="5"/>
  <c r="I73" i="5"/>
  <c r="I70" i="5" s="1"/>
  <c r="I68" i="5"/>
  <c r="I65" i="5"/>
  <c r="I59" i="5"/>
  <c r="I50" i="5"/>
  <c r="I49" i="5" s="1"/>
  <c r="I46" i="5"/>
  <c r="I45" i="5" s="1"/>
  <c r="B8" i="6" s="1"/>
  <c r="I41" i="5"/>
  <c r="I37" i="5"/>
  <c r="I35" i="5"/>
  <c r="I30" i="5"/>
  <c r="I27" i="5"/>
  <c r="I24" i="5"/>
  <c r="I23" i="5" s="1"/>
  <c r="I21" i="5"/>
  <c r="I20" i="5" s="1"/>
  <c r="I19" i="5"/>
  <c r="I18" i="5"/>
  <c r="I12" i="5"/>
  <c r="G58" i="3"/>
  <c r="G54" i="3"/>
  <c r="G53" i="3" s="1"/>
  <c r="G50" i="3"/>
  <c r="G49" i="3"/>
  <c r="G46" i="3"/>
  <c r="G45" i="3" s="1"/>
  <c r="G44" i="3"/>
  <c r="G43" i="3" s="1"/>
  <c r="G42" i="3"/>
  <c r="G41" i="3" s="1"/>
  <c r="G40" i="3"/>
  <c r="G39" i="3" s="1"/>
  <c r="G37" i="3"/>
  <c r="G36" i="3"/>
  <c r="G33" i="3"/>
  <c r="G32" i="3" s="1"/>
  <c r="G31" i="3" s="1"/>
  <c r="G27" i="3"/>
  <c r="G26" i="3"/>
  <c r="G25" i="3"/>
  <c r="G24" i="3"/>
  <c r="G23" i="3"/>
  <c r="G18" i="3"/>
  <c r="G17" i="3"/>
  <c r="G16" i="3"/>
  <c r="G15" i="3"/>
  <c r="G14" i="3"/>
  <c r="G91" i="2"/>
  <c r="G90" i="2" s="1"/>
  <c r="C17" i="4" s="1"/>
  <c r="E17" i="4" s="1"/>
  <c r="G89" i="2"/>
  <c r="G30" i="3" s="1"/>
  <c r="G28" i="3" s="1"/>
  <c r="G85" i="2"/>
  <c r="G99" i="2" s="1"/>
  <c r="F11" i="7" s="1"/>
  <c r="D14" i="1" s="1"/>
  <c r="G82" i="2"/>
  <c r="G75" i="2"/>
  <c r="G74" i="2" s="1"/>
  <c r="G71" i="2"/>
  <c r="G70" i="2" s="1"/>
  <c r="B14" i="4" s="1"/>
  <c r="G60" i="2"/>
  <c r="G48" i="2"/>
  <c r="G13" i="3" s="1"/>
  <c r="G47" i="2"/>
  <c r="G42" i="2"/>
  <c r="G41" i="2" s="1"/>
  <c r="B11" i="4" s="1"/>
  <c r="G39" i="2"/>
  <c r="G37" i="2"/>
  <c r="G35" i="2"/>
  <c r="G33" i="2"/>
  <c r="G29" i="2"/>
  <c r="G25" i="2"/>
  <c r="G24" i="2" s="1"/>
  <c r="G20" i="2"/>
  <c r="G16" i="2"/>
  <c r="G11" i="2"/>
  <c r="G48" i="3" s="1"/>
  <c r="H44" i="5"/>
  <c r="H41" i="5" s="1"/>
  <c r="H56" i="5"/>
  <c r="H80" i="5"/>
  <c r="H78" i="5" s="1"/>
  <c r="D10" i="7"/>
  <c r="D8" i="7"/>
  <c r="H83" i="5"/>
  <c r="H81" i="5" s="1"/>
  <c r="H59" i="5"/>
  <c r="B9" i="10"/>
  <c r="F11" i="11"/>
  <c r="F10" i="11" s="1"/>
  <c r="F14" i="11"/>
  <c r="F19" i="11"/>
  <c r="F18" i="11" s="1"/>
  <c r="F29" i="11"/>
  <c r="F28" i="11" s="1"/>
  <c r="F27" i="11" s="1"/>
  <c r="F34" i="11"/>
  <c r="G14" i="12"/>
  <c r="G10" i="12" s="1"/>
  <c r="G9" i="12" s="1"/>
  <c r="G22" i="12"/>
  <c r="G25" i="12"/>
  <c r="G28" i="12"/>
  <c r="G34" i="12"/>
  <c r="G37" i="12"/>
  <c r="G41" i="12"/>
  <c r="G57" i="12" s="1"/>
  <c r="G46" i="12"/>
  <c r="G45" i="12" s="1"/>
  <c r="G50" i="12"/>
  <c r="F53" i="12"/>
  <c r="C11" i="13"/>
  <c r="F11" i="2"/>
  <c r="F10" i="2" s="1"/>
  <c r="F9" i="2" s="1"/>
  <c r="F16" i="2"/>
  <c r="F20" i="2"/>
  <c r="F15" i="2" s="1"/>
  <c r="F25" i="2"/>
  <c r="F57" i="3" s="1"/>
  <c r="F29" i="2"/>
  <c r="F33" i="2"/>
  <c r="F35" i="2"/>
  <c r="F37" i="2"/>
  <c r="F39" i="2"/>
  <c r="F42" i="2"/>
  <c r="F41" i="2" s="1"/>
  <c r="F48" i="2"/>
  <c r="F13" i="3" s="1"/>
  <c r="F47" i="2"/>
  <c r="F59" i="2"/>
  <c r="F60" i="2"/>
  <c r="F67" i="2"/>
  <c r="F71" i="2"/>
  <c r="F70" i="2" s="1"/>
  <c r="F75" i="2"/>
  <c r="F74" i="2"/>
  <c r="F95" i="2" s="1"/>
  <c r="E8" i="8" s="1"/>
  <c r="E11" i="8" s="1"/>
  <c r="F82" i="2"/>
  <c r="F85" i="2"/>
  <c r="F99" i="2" s="1"/>
  <c r="E11" i="7" s="1"/>
  <c r="C14" i="1" s="1"/>
  <c r="F89" i="2"/>
  <c r="F91" i="2"/>
  <c r="F90" i="2" s="1"/>
  <c r="F14" i="3"/>
  <c r="F15" i="3"/>
  <c r="F16" i="3"/>
  <c r="F17" i="3"/>
  <c r="F18" i="3"/>
  <c r="F22" i="3"/>
  <c r="F23" i="3"/>
  <c r="F24" i="3"/>
  <c r="F25" i="3"/>
  <c r="F26" i="3"/>
  <c r="F27" i="3"/>
  <c r="F29" i="3"/>
  <c r="F33" i="3"/>
  <c r="F32" i="3" s="1"/>
  <c r="F31" i="3" s="1"/>
  <c r="F36" i="3"/>
  <c r="F37" i="3"/>
  <c r="F40" i="3"/>
  <c r="F39" i="3" s="1"/>
  <c r="F42" i="3"/>
  <c r="F41" i="3" s="1"/>
  <c r="F44" i="3"/>
  <c r="F43" i="3" s="1"/>
  <c r="F46" i="3"/>
  <c r="F45" i="3" s="1"/>
  <c r="F49" i="3"/>
  <c r="F50" i="3"/>
  <c r="F54" i="3"/>
  <c r="F53" i="3" s="1"/>
  <c r="F58" i="3"/>
  <c r="D19" i="4"/>
  <c r="H12" i="5"/>
  <c r="H18" i="5"/>
  <c r="H19" i="5"/>
  <c r="H21" i="5"/>
  <c r="H20" i="5" s="1"/>
  <c r="H24" i="5"/>
  <c r="H23" i="5" s="1"/>
  <c r="H27" i="5"/>
  <c r="H30" i="5"/>
  <c r="H35" i="5"/>
  <c r="H37" i="5"/>
  <c r="H46" i="5"/>
  <c r="H45" i="5" s="1"/>
  <c r="H50" i="5"/>
  <c r="H49" i="5" s="1"/>
  <c r="H64" i="5"/>
  <c r="H66" i="5"/>
  <c r="H65" i="5" s="1"/>
  <c r="H68" i="5"/>
  <c r="H73" i="5"/>
  <c r="H70" i="5" s="1"/>
  <c r="H76" i="5"/>
  <c r="H87" i="5"/>
  <c r="H86" i="5" s="1"/>
  <c r="H92" i="5"/>
  <c r="H89" i="5" s="1"/>
  <c r="H94" i="5"/>
  <c r="H98" i="5"/>
  <c r="H96" i="5" s="1"/>
  <c r="H101" i="5"/>
  <c r="H103" i="5"/>
  <c r="H106" i="5"/>
  <c r="H108" i="5"/>
  <c r="H114" i="5"/>
  <c r="H117" i="5" s="1"/>
  <c r="H116" i="5" s="1"/>
  <c r="H120" i="5"/>
  <c r="H119" i="5" s="1"/>
  <c r="H126" i="5"/>
  <c r="H125" i="5" s="1"/>
  <c r="H128" i="5"/>
  <c r="H132" i="5"/>
  <c r="H130" i="5" s="1"/>
  <c r="H135" i="5"/>
  <c r="H140" i="5"/>
  <c r="H139" i="5" s="1"/>
  <c r="H138" i="5" s="1"/>
  <c r="H143" i="5"/>
  <c r="H142" i="5" s="1"/>
  <c r="H147" i="5"/>
  <c r="H144" i="5" s="1"/>
  <c r="H151" i="5"/>
  <c r="H154" i="5"/>
  <c r="H153" i="5" s="1"/>
  <c r="H156" i="5"/>
  <c r="H159" i="5"/>
  <c r="H158" i="5" s="1"/>
  <c r="H242" i="5" s="1"/>
  <c r="E18" i="7" s="1"/>
  <c r="C23" i="1" s="1"/>
  <c r="H163" i="5"/>
  <c r="H166" i="5"/>
  <c r="H169" i="5"/>
  <c r="H168" i="5" s="1"/>
  <c r="H173" i="5"/>
  <c r="H172" i="5" s="1"/>
  <c r="H176" i="5"/>
  <c r="H175" i="5" s="1"/>
  <c r="H178" i="5"/>
  <c r="H182" i="5"/>
  <c r="H192" i="5"/>
  <c r="H191" i="5" s="1"/>
  <c r="H198" i="5"/>
  <c r="H194" i="5" s="1"/>
  <c r="H200" i="5"/>
  <c r="H204" i="5"/>
  <c r="H202" i="5" s="1"/>
  <c r="H207" i="5"/>
  <c r="H206" i="5" s="1"/>
  <c r="H205" i="5" s="1"/>
  <c r="H211" i="5"/>
  <c r="H210" i="5" s="1"/>
  <c r="H209" i="5" s="1"/>
  <c r="E21" i="6" s="1"/>
  <c r="H216" i="5"/>
  <c r="H218" i="5"/>
  <c r="H220" i="5"/>
  <c r="H223" i="5"/>
  <c r="H222" i="5" s="1"/>
  <c r="H233" i="5"/>
  <c r="H231" i="5" s="1"/>
  <c r="H237" i="5"/>
  <c r="H234" i="5" s="1"/>
  <c r="G238" i="5"/>
  <c r="D26" i="6"/>
  <c r="C8" i="7"/>
  <c r="C9" i="7"/>
  <c r="C10" i="7"/>
  <c r="C13" i="7" s="1"/>
  <c r="C11" i="7"/>
  <c r="C12" i="7"/>
  <c r="D12" i="7"/>
  <c r="C15" i="7"/>
  <c r="D15" i="7"/>
  <c r="C16" i="7"/>
  <c r="D16" i="7"/>
  <c r="C17" i="7"/>
  <c r="D17" i="7"/>
  <c r="C18" i="7"/>
  <c r="C19" i="7"/>
  <c r="D20" i="7"/>
  <c r="C8" i="8"/>
  <c r="C11" i="8" s="1"/>
  <c r="D11" i="8"/>
  <c r="D13" i="8"/>
  <c r="D16" i="8" s="1"/>
  <c r="C16" i="8"/>
  <c r="C12" i="9"/>
  <c r="F9" i="11"/>
  <c r="E8" i="6" l="1"/>
  <c r="F58" i="2"/>
  <c r="F46" i="2" s="1"/>
  <c r="F45" i="2" s="1"/>
  <c r="F44" i="2" s="1"/>
  <c r="D13" i="7"/>
  <c r="D18" i="8" s="1"/>
  <c r="F20" i="3"/>
  <c r="G44" i="12"/>
  <c r="F25" i="11" s="1"/>
  <c r="F24" i="11" s="1"/>
  <c r="E23" i="6"/>
  <c r="G79" i="2"/>
  <c r="B12" i="4" s="1"/>
  <c r="E12" i="4" s="1"/>
  <c r="E14" i="4"/>
  <c r="C18" i="8"/>
  <c r="E20" i="6"/>
  <c r="F48" i="3"/>
  <c r="G100" i="2"/>
  <c r="F12" i="7" s="1"/>
  <c r="D17" i="1" s="1"/>
  <c r="D21" i="7"/>
  <c r="D19" i="8" s="1"/>
  <c r="I244" i="5"/>
  <c r="I162" i="5"/>
  <c r="I161" i="5" s="1"/>
  <c r="B17" i="6" s="1"/>
  <c r="F24" i="2"/>
  <c r="F23" i="2" s="1"/>
  <c r="F22" i="2" s="1"/>
  <c r="F73" i="2"/>
  <c r="I245" i="5"/>
  <c r="E11" i="4"/>
  <c r="F79" i="2"/>
  <c r="G15" i="2"/>
  <c r="B8" i="4" s="1"/>
  <c r="E8" i="4" s="1"/>
  <c r="G32" i="2"/>
  <c r="F32" i="2"/>
  <c r="F28" i="2" s="1"/>
  <c r="G58" i="2"/>
  <c r="G46" i="2" s="1"/>
  <c r="G45" i="2" s="1"/>
  <c r="G44" i="2" s="1"/>
  <c r="B13" i="4" s="1"/>
  <c r="E13" i="4" s="1"/>
  <c r="G47" i="3"/>
  <c r="G73" i="2"/>
  <c r="B18" i="4" s="1"/>
  <c r="E18" i="4" s="1"/>
  <c r="G95" i="2"/>
  <c r="F8" i="8" s="1"/>
  <c r="F100" i="2"/>
  <c r="G57" i="3"/>
  <c r="G56" i="3" s="1"/>
  <c r="G55" i="3" s="1"/>
  <c r="G10" i="2"/>
  <c r="G9" i="2" s="1"/>
  <c r="H62" i="5"/>
  <c r="H61" i="5" s="1"/>
  <c r="H17" i="5"/>
  <c r="H11" i="5" s="1"/>
  <c r="F14" i="8"/>
  <c r="D27" i="1" s="1"/>
  <c r="I62" i="5"/>
  <c r="I61" i="5" s="1"/>
  <c r="H100" i="5"/>
  <c r="H99" i="5" s="1"/>
  <c r="F13" i="8"/>
  <c r="D26" i="1" s="1"/>
  <c r="H162" i="5"/>
  <c r="H161" i="5" s="1"/>
  <c r="H225" i="5"/>
  <c r="E25" i="6" s="1"/>
  <c r="H113" i="5"/>
  <c r="H112" i="5" s="1"/>
  <c r="H111" i="5" s="1"/>
  <c r="H171" i="5"/>
  <c r="H170" i="5" s="1"/>
  <c r="H67" i="5"/>
  <c r="G19" i="12"/>
  <c r="G18" i="12" s="1"/>
  <c r="G55" i="12" s="1"/>
  <c r="G54" i="12"/>
  <c r="C21" i="7"/>
  <c r="C19" i="8" s="1"/>
  <c r="H22" i="5"/>
  <c r="F98" i="2"/>
  <c r="E10" i="7" s="1"/>
  <c r="C12" i="1" s="1"/>
  <c r="F26" i="11"/>
  <c r="F35" i="11"/>
  <c r="H137" i="5"/>
  <c r="F88" i="2"/>
  <c r="F30" i="3"/>
  <c r="F28" i="3" s="1"/>
  <c r="G21" i="12"/>
  <c r="G56" i="12" s="1"/>
  <c r="G23" i="2"/>
  <c r="G22" i="2" s="1"/>
  <c r="B9" i="4" s="1"/>
  <c r="E9" i="4" s="1"/>
  <c r="G28" i="2"/>
  <c r="I190" i="5"/>
  <c r="I184" i="5" s="1"/>
  <c r="C19" i="6" s="1"/>
  <c r="H150" i="5"/>
  <c r="H149" i="5" s="1"/>
  <c r="H85" i="5"/>
  <c r="H84" i="5" s="1"/>
  <c r="F56" i="3"/>
  <c r="F55" i="3" s="1"/>
  <c r="H53" i="5"/>
  <c r="H52" i="5" s="1"/>
  <c r="H48" i="5" s="1"/>
  <c r="G88" i="2"/>
  <c r="G87" i="2" s="1"/>
  <c r="B15" i="4" s="1"/>
  <c r="I85" i="5"/>
  <c r="I171" i="5"/>
  <c r="I170" i="5" s="1"/>
  <c r="C18" i="6" s="1"/>
  <c r="I215" i="5"/>
  <c r="I214" i="5" s="1"/>
  <c r="I213" i="5" s="1"/>
  <c r="B22" i="6" s="1"/>
  <c r="H21" i="12"/>
  <c r="H56" i="12" s="1"/>
  <c r="H190" i="5"/>
  <c r="H184" i="5" s="1"/>
  <c r="H127" i="5"/>
  <c r="H118" i="5" s="1"/>
  <c r="I117" i="5"/>
  <c r="I116" i="5" s="1"/>
  <c r="I112" i="5" s="1"/>
  <c r="I111" i="5" s="1"/>
  <c r="B13" i="6" s="1"/>
  <c r="H215" i="5"/>
  <c r="H214" i="5" s="1"/>
  <c r="H213" i="5" s="1"/>
  <c r="E22" i="6" s="1"/>
  <c r="H245" i="5"/>
  <c r="E14" i="8" s="1"/>
  <c r="C27" i="1" s="1"/>
  <c r="F35" i="3"/>
  <c r="F21" i="3"/>
  <c r="G21" i="3"/>
  <c r="G38" i="3"/>
  <c r="I53" i="5"/>
  <c r="I52" i="5" s="1"/>
  <c r="I48" i="5" s="1"/>
  <c r="B9" i="6" s="1"/>
  <c r="G20" i="3"/>
  <c r="F23" i="11"/>
  <c r="F33" i="11"/>
  <c r="H54" i="12"/>
  <c r="H19" i="12"/>
  <c r="H18" i="12" s="1"/>
  <c r="H55" i="12" s="1"/>
  <c r="F16" i="7" s="1"/>
  <c r="D21" i="1" s="1"/>
  <c r="G9" i="11"/>
  <c r="C16" i="4" s="1"/>
  <c r="C19" i="4" s="1"/>
  <c r="G33" i="11"/>
  <c r="G26" i="11"/>
  <c r="G35" i="11"/>
  <c r="H240" i="5"/>
  <c r="B12" i="10"/>
  <c r="H244" i="5"/>
  <c r="E13" i="8" s="1"/>
  <c r="I137" i="5"/>
  <c r="B15" i="6" s="1"/>
  <c r="I22" i="5"/>
  <c r="I127" i="5"/>
  <c r="I118" i="5" s="1"/>
  <c r="B14" i="6" s="1"/>
  <c r="I150" i="5"/>
  <c r="I149" i="5" s="1"/>
  <c r="B16" i="6" s="1"/>
  <c r="I246" i="5"/>
  <c r="I100" i="5"/>
  <c r="I99" i="5" s="1"/>
  <c r="B12" i="6" s="1"/>
  <c r="H246" i="5"/>
  <c r="E20" i="7" s="1"/>
  <c r="C28" i="1" s="1"/>
  <c r="I17" i="5"/>
  <c r="I11" i="5" s="1"/>
  <c r="I67" i="5"/>
  <c r="F38" i="3"/>
  <c r="F47" i="3"/>
  <c r="F12" i="3"/>
  <c r="G12" i="3"/>
  <c r="G35" i="3"/>
  <c r="C16" i="1"/>
  <c r="C15" i="1" s="1"/>
  <c r="E16" i="7" l="1"/>
  <c r="C21" i="1" s="1"/>
  <c r="F19" i="3"/>
  <c r="G8" i="12"/>
  <c r="E14" i="6"/>
  <c r="E13" i="6"/>
  <c r="F32" i="11"/>
  <c r="I84" i="5"/>
  <c r="B11" i="6" s="1"/>
  <c r="E11" i="6" s="1"/>
  <c r="G36" i="11"/>
  <c r="E15" i="6"/>
  <c r="I239" i="5"/>
  <c r="F15" i="7" s="1"/>
  <c r="B7" i="4"/>
  <c r="E7" i="4" s="1"/>
  <c r="E16" i="4"/>
  <c r="E18" i="6"/>
  <c r="E16" i="6"/>
  <c r="E12" i="7"/>
  <c r="C17" i="1" s="1"/>
  <c r="E17" i="6"/>
  <c r="D25" i="1"/>
  <c r="B11" i="10"/>
  <c r="B15" i="10" s="1"/>
  <c r="F20" i="7"/>
  <c r="D28" i="1" s="1"/>
  <c r="E9" i="6"/>
  <c r="F27" i="2"/>
  <c r="F96" i="2"/>
  <c r="E9" i="7" s="1"/>
  <c r="C11" i="1" s="1"/>
  <c r="E19" i="6"/>
  <c r="E12" i="6"/>
  <c r="F16" i="8"/>
  <c r="F11" i="8"/>
  <c r="D16" i="1"/>
  <c r="D15" i="1" s="1"/>
  <c r="F34" i="3"/>
  <c r="G98" i="2"/>
  <c r="F11" i="3"/>
  <c r="F10" i="3" s="1"/>
  <c r="G34" i="3"/>
  <c r="H239" i="5"/>
  <c r="E15" i="7" s="1"/>
  <c r="I60" i="5"/>
  <c r="B10" i="6" s="1"/>
  <c r="H60" i="5"/>
  <c r="E10" i="6" s="1"/>
  <c r="H10" i="5"/>
  <c r="H238" i="5" s="1"/>
  <c r="I241" i="5"/>
  <c r="H243" i="5"/>
  <c r="E19" i="7" s="1"/>
  <c r="C24" i="1" s="1"/>
  <c r="I10" i="5"/>
  <c r="D20" i="1"/>
  <c r="I243" i="5"/>
  <c r="F19" i="7" s="1"/>
  <c r="D24" i="1" s="1"/>
  <c r="H241" i="5"/>
  <c r="E17" i="7" s="1"/>
  <c r="C22" i="1" s="1"/>
  <c r="G19" i="3"/>
  <c r="G11" i="3" s="1"/>
  <c r="G10" i="3" s="1"/>
  <c r="G96" i="2"/>
  <c r="F9" i="7" s="1"/>
  <c r="D11" i="1" s="1"/>
  <c r="G27" i="2"/>
  <c r="G93" i="2" s="1"/>
  <c r="F87" i="2"/>
  <c r="F94" i="2"/>
  <c r="F101" i="2" s="1"/>
  <c r="G52" i="12"/>
  <c r="G58" i="12"/>
  <c r="G94" i="2"/>
  <c r="F8" i="7" s="1"/>
  <c r="H58" i="12"/>
  <c r="F36" i="11"/>
  <c r="H8" i="12"/>
  <c r="G32" i="11"/>
  <c r="C26" i="1"/>
  <c r="C25" i="1" s="1"/>
  <c r="E16" i="8"/>
  <c r="G59" i="3" l="1"/>
  <c r="B10" i="4"/>
  <c r="E8" i="7"/>
  <c r="C10" i="1" s="1"/>
  <c r="C9" i="1" s="1"/>
  <c r="C18" i="1" s="1"/>
  <c r="E10" i="4"/>
  <c r="H52" i="12"/>
  <c r="C24" i="6"/>
  <c r="F17" i="7"/>
  <c r="D22" i="1" s="1"/>
  <c r="D19" i="1" s="1"/>
  <c r="D29" i="1" s="1"/>
  <c r="F10" i="7"/>
  <c r="D12" i="1" s="1"/>
  <c r="F59" i="3"/>
  <c r="I238" i="5"/>
  <c r="B7" i="6"/>
  <c r="E7" i="6" s="1"/>
  <c r="G101" i="2"/>
  <c r="I247" i="5"/>
  <c r="H247" i="5"/>
  <c r="F93" i="2"/>
  <c r="D10" i="1"/>
  <c r="C20" i="1"/>
  <c r="C19" i="1" s="1"/>
  <c r="C29" i="1" s="1"/>
  <c r="E21" i="7"/>
  <c r="E19" i="8" s="1"/>
  <c r="E13" i="7" l="1"/>
  <c r="E18" i="8" s="1"/>
  <c r="F13" i="7"/>
  <c r="F18" i="8" s="1"/>
  <c r="C26" i="6"/>
  <c r="E24" i="6"/>
  <c r="E26" i="6" s="1"/>
  <c r="B26" i="6"/>
  <c r="F21" i="7"/>
  <c r="F19" i="8" s="1"/>
  <c r="D9" i="1"/>
  <c r="D18" i="1" s="1"/>
  <c r="E15" i="4"/>
  <c r="E19" i="4" s="1"/>
  <c r="B19" i="4"/>
</calcChain>
</file>

<file path=xl/sharedStrings.xml><?xml version="1.0" encoding="utf-8"?>
<sst xmlns="http://schemas.openxmlformats.org/spreadsheetml/2006/main" count="1047" uniqueCount="378">
  <si>
    <t>MINDSZENTKÁLLA KÖZSÉG ÖNKORMÁNYZATA</t>
  </si>
  <si>
    <t>2020. évi Költségvetés Mérlege</t>
  </si>
  <si>
    <t>Előirányzatok</t>
  </si>
  <si>
    <t>Előirányzat    (Ft)</t>
  </si>
  <si>
    <t>eredeti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</si>
  <si>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</si>
  <si>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</si>
  <si>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</si>
  <si>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</si>
  <si>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</si>
  <si>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</si>
  <si>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</si>
  <si>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</si>
  <si>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</si>
  <si>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</si>
  <si>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</si>
  <si>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</si>
  <si>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</si>
  <si>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</si>
  <si>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</si>
  <si>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</si>
  <si>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</si>
  <si>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</si>
  <si>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</si>
  <si>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</si>
  <si>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</si>
  <si>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</si>
  <si>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</si>
  <si>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</si>
  <si>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</si>
  <si>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</si>
  <si>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</si>
  <si>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</si>
  <si>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</si>
  <si>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</si>
  <si>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</si>
  <si>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</si>
  <si>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</si>
  <si>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</si>
  <si>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2020. évi költségvetés bevételei</t>
  </si>
  <si>
    <t>Kiemelt előirányzatok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</si>
  <si>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</si>
  <si>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</si>
  <si>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</si>
  <si>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</si>
  <si>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</si>
  <si>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</si>
  <si>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</si>
  <si>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</si>
  <si>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</si>
  <si>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</si>
  <si>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</si>
  <si>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</si>
  <si>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</si>
  <si>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</si>
  <si>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</si>
  <si>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</si>
  <si>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</si>
  <si>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</si>
  <si>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</si>
  <si>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</si>
  <si>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</si>
  <si>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</si>
  <si>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</si>
  <si>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</si>
  <si>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</si>
  <si>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</si>
  <si>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</si>
  <si>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</si>
  <si>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</si>
  <si>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</si>
  <si>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</si>
  <si>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</si>
  <si>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</si>
  <si>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</si>
  <si>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</si>
  <si>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</si>
  <si>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</si>
  <si>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</si>
  <si>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</si>
  <si>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</si>
  <si>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</si>
  <si>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</si>
  <si>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</si>
  <si>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</si>
  <si>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Zöld terület gazdálkodás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</si>
  <si>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</si>
  <si>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</si>
  <si>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</si>
  <si>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</si>
  <si>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</si>
  <si>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</si>
  <si>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</si>
  <si>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Kiegészítés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</si>
  <si>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</si>
  <si>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</si>
  <si>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</si>
  <si>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</si>
  <si>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</si>
  <si>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</si>
  <si>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és egészségügyi pótlék, kompenzáció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</si>
  <si>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</si>
  <si>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</si>
  <si>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</si>
  <si>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</si>
  <si>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</si>
  <si>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B16</t>
  </si>
  <si>
    <t>Egyéb működési célú támogatások bevételei államháztartáson belülről</t>
  </si>
  <si>
    <t>Egyéb működési célú támogatás elkülönített állami pénzalapoktól</t>
  </si>
  <si>
    <t>018020 Központi költségvetési befizetések</t>
  </si>
  <si>
    <t xml:space="preserve"> </t>
  </si>
  <si>
    <t>B814</t>
  </si>
  <si>
    <t>Államháztartáson belüli megelőlegezések</t>
  </si>
  <si>
    <t>062020 Településfejlesztési projektek és támogatásuk</t>
  </si>
  <si>
    <t>B25</t>
  </si>
  <si>
    <t>Felhalmozási célú önkormányzati támogatások</t>
  </si>
  <si>
    <t>B253</t>
  </si>
  <si>
    <t>Egyéb fejezeti kezelésű előirányzattól felhalmozási célú támogatások bevételei</t>
  </si>
  <si>
    <t>066020 Város -, községgazdálkodási egyéb szolgáltatások</t>
  </si>
  <si>
    <t>B21</t>
  </si>
  <si>
    <t>B410</t>
  </si>
  <si>
    <t>Biztosítók által fizetett kártérítések</t>
  </si>
  <si>
    <t>041233 Hosszabb időtartamú közfoglalkoztatás</t>
  </si>
  <si>
    <t>082092 Közművelődés- hagyományos közösségi kulturális értékek gondozása</t>
  </si>
  <si>
    <t>BEVÉTELEK ÖSSZESEN</t>
  </si>
  <si>
    <t>jogcím csoportonként</t>
  </si>
  <si>
    <t>Jogcím csoportok</t>
  </si>
  <si>
    <t>Előirányzat (Ft)</t>
  </si>
  <si>
    <t>módosított</t>
  </si>
  <si>
    <t>Szociális ágazati pótlék</t>
  </si>
  <si>
    <t>Egyéb működési célú támogatások bevételei államháztaráson belülről</t>
  </si>
  <si>
    <t>Egyéb működési bevétel</t>
  </si>
  <si>
    <t>BEVÉTELEK ÖSSZESEN:</t>
  </si>
  <si>
    <t>2020. évi BEVÉTELEK feladatonkénti  bontása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</si>
  <si>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</si>
  <si>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</si>
  <si>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</si>
  <si>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</si>
  <si>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</si>
  <si>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</si>
  <si>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</si>
  <si>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</si>
  <si>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</si>
  <si>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 xml:space="preserve">2020. évi költségvetés kiadásai 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</si>
  <si>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</si>
  <si>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</si>
  <si>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</si>
  <si>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</si>
  <si>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</si>
  <si>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</si>
  <si>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</si>
  <si>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</si>
  <si>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</si>
  <si>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</si>
  <si>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K1109</t>
  </si>
  <si>
    <t>Közlekedési költségtérítés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</si>
  <si>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</si>
  <si>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</si>
  <si>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</si>
  <si>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</si>
  <si>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</si>
  <si>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</si>
  <si>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</si>
  <si>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</si>
  <si>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</si>
  <si>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</si>
  <si>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</si>
  <si>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</si>
  <si>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</si>
  <si>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</si>
  <si>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</si>
  <si>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</si>
  <si>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</si>
  <si>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</si>
  <si>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</si>
  <si>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</si>
  <si>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</si>
  <si>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</si>
  <si>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</si>
  <si>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</si>
  <si>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</si>
  <si>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</si>
  <si>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K334</t>
  </si>
  <si>
    <t>Karbantartási, kisjavítási szolgáltatások</t>
  </si>
  <si>
    <t>K337</t>
  </si>
  <si>
    <t>Egyéb szolgáltatások</t>
  </si>
  <si>
    <t>Biztosítási díjak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</si>
  <si>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</si>
  <si>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</si>
  <si>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</si>
  <si>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</si>
  <si>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</si>
  <si>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</si>
  <si>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</si>
  <si>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</si>
  <si>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K353</t>
  </si>
  <si>
    <t>Kamatkiadások keletkezése</t>
  </si>
  <si>
    <t>K355</t>
  </si>
  <si>
    <t>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</si>
  <si>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</si>
  <si>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</si>
  <si>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</si>
  <si>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</si>
  <si>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</si>
  <si>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</si>
  <si>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</si>
  <si>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</si>
  <si>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</si>
  <si>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</si>
  <si>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</si>
  <si>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</si>
  <si>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Támogatásértékű működési kiadás önkormányzatoknak (Kővágóörsi Közös Önkormányzati Hivatal)</t>
  </si>
  <si>
    <t>Belső ellenőrzési feladatokhoz hozzájárulás</t>
  </si>
  <si>
    <t>Óvodai ellátás</t>
  </si>
  <si>
    <t>Védőnői szolgáltaás</t>
  </si>
  <si>
    <t>Tapolca környéki önkormányzati társulás (vezetői feladatok)</t>
  </si>
  <si>
    <t>Balaton-felvidéki Szociális. Gyermekjóléti és Háziorvosi Ügyeleti Szolgálat</t>
  </si>
  <si>
    <t>K123</t>
  </si>
  <si>
    <t>Egyszerűsített foglalkoztatottak juttatásai és közterhei</t>
  </si>
  <si>
    <t>Egyszerűsített foglalkoztatottak közterhei</t>
  </si>
  <si>
    <t>Más egyéb szolgáltatások</t>
  </si>
  <si>
    <t>K64</t>
  </si>
  <si>
    <t>Egyéb tárgyi eszközök beszerzése (gépek beszerzése)</t>
  </si>
  <si>
    <t>K67</t>
  </si>
  <si>
    <t>Beruházási célú előzetesen felszámított általános forgalmi adó</t>
  </si>
  <si>
    <t>K71</t>
  </si>
  <si>
    <t>K74</t>
  </si>
  <si>
    <t xml:space="preserve">Felújítási célú előzetesen felszámított áfa </t>
  </si>
  <si>
    <t>Egyéb anyagbeszerzés</t>
  </si>
  <si>
    <t>K61</t>
  </si>
  <si>
    <t>Immateriális javak beszerzése</t>
  </si>
  <si>
    <t>066010 Zöldterület - kezelés</t>
  </si>
  <si>
    <t>Üzemeltetési anyagok beszerzése</t>
  </si>
  <si>
    <t>064010 Közvilágítás</t>
  </si>
  <si>
    <t>Villamosenergia</t>
  </si>
  <si>
    <t>107055 Falugondnoki, tanyagondnoki szolgáltatás</t>
  </si>
  <si>
    <t>K1102</t>
  </si>
  <si>
    <t>Jutalmak</t>
  </si>
  <si>
    <t>K1106</t>
  </si>
  <si>
    <t>Jubileumi jutalmak</t>
  </si>
  <si>
    <t>Karbantartási, kis javítási szolgáltatások</t>
  </si>
  <si>
    <t>107060 Egyéb szociális pénzbeli és természetbeni ellátások, támogatások</t>
  </si>
  <si>
    <t>Ellátottak pénzbeli támogatásai</t>
  </si>
  <si>
    <t>K48</t>
  </si>
  <si>
    <t>Egyéb nem intézményi ellátások</t>
  </si>
  <si>
    <t>Települési támogatás</t>
  </si>
  <si>
    <t>106020 Lakásfenntartással, lakhatással összefüggő ellátások</t>
  </si>
  <si>
    <t>082044 Könyvtári szolgáltatások</t>
  </si>
  <si>
    <t>Internet</t>
  </si>
  <si>
    <t>082092 Közművelődés - hagyományos közösségi kulturális értékek gondozása</t>
  </si>
  <si>
    <t>Ingatlanok felújítása</t>
  </si>
  <si>
    <t>031060 Bűnmegelőzés</t>
  </si>
  <si>
    <t>Működési célú pénzeszköz átadás egyéb civil szervezeteknek</t>
  </si>
  <si>
    <t>032020 Tűz- és katasztrófavédelmi tevékenységek</t>
  </si>
  <si>
    <t>013350 Önkormányzati vagyonnal való gazdálkodással kapcsolatos feladatok</t>
  </si>
  <si>
    <t>K502</t>
  </si>
  <si>
    <t>Előző évi elszámolásokból származó kiadások</t>
  </si>
  <si>
    <r>
      <rPr>
        <b/>
        <sz val="12"/>
        <rFont val="Times New Roman"/>
        <family val="1"/>
        <charset val="238"/>
      </rP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>fő</t>
    </r>
  </si>
  <si>
    <t>Kiadások Összesen:</t>
  </si>
  <si>
    <t>MINDSZENTKÁLLA  KÖZSÉG ÖNKORMÁNYZATA</t>
  </si>
  <si>
    <t>2020. évi KIADÁSOK feladatonkénti  bontása</t>
  </si>
  <si>
    <t xml:space="preserve"> Előirányzatok adatok Ft-ban</t>
  </si>
  <si>
    <t>011130 Önkormányzatokés önkormányzati hivatalok és j.ált. igazgatási tevékenysége</t>
  </si>
  <si>
    <t>066010 Zöldterületek kezelése</t>
  </si>
  <si>
    <t>064010 Közvilágítási feladatok</t>
  </si>
  <si>
    <t>107055 Falugondnoki szolgáltatás</t>
  </si>
  <si>
    <t>082092 Közművelődés-hagyományos közösségi kulturális értékek gondozása</t>
  </si>
  <si>
    <t>Tájékoztató adatok a MŰKÖDÉSI bevételek és kiadások alakulásáról</t>
  </si>
  <si>
    <t>Megnevezés</t>
  </si>
  <si>
    <t>2018. teljesítés (adatok Ft-ban)</t>
  </si>
  <si>
    <t>2019. teljesítés (adatok Ft-ban)</t>
  </si>
  <si>
    <t>2020. eredeti előirányzat (adatok Ft-ban)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</si>
  <si>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</si>
  <si>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</si>
  <si>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</si>
  <si>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</si>
  <si>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</si>
  <si>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</si>
  <si>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Tájékoztató adatok a FELHALMOZÁSI célú bevételek és kiadások alakulásáról</t>
  </si>
  <si>
    <t>2018 teljesítés (adatok Ft-ban)</t>
  </si>
  <si>
    <t>2020. eredeti előirányzat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</si>
  <si>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</si>
  <si>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</si>
  <si>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</si>
  <si>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</si>
  <si>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</si>
  <si>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</si>
  <si>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</si>
  <si>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</si>
  <si>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</si>
  <si>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</si>
  <si>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2020. évi költségvetés FELÚJÍTÁSI kiadásai célonkénti bontásban</t>
  </si>
  <si>
    <t>(adatok Ft-ban)</t>
  </si>
  <si>
    <t>Ravatalozó felújítás</t>
  </si>
  <si>
    <t>Felújítások összesen:</t>
  </si>
  <si>
    <t>2020. évi költségvetés BERUHÁZÁSI kiadásai feladatonkénti bontásban</t>
  </si>
  <si>
    <t>Temetői nyilvántartó program</t>
  </si>
  <si>
    <t>Beruházások összesen:</t>
  </si>
  <si>
    <t>KÁLI - MEDENCE IDŐSEK OTTHONA</t>
  </si>
  <si>
    <t>2020. évi BEVÉTELEK részletezése</t>
  </si>
  <si>
    <t xml:space="preserve">102023 Időskorúak tartós bentlakásos ellátása                             </t>
  </si>
  <si>
    <t>B161</t>
  </si>
  <si>
    <t>Elkülönített állami pénzalapoktól működési célú támogtások bevételei</t>
  </si>
  <si>
    <t>Ágazati pótlékra betervetezett pénzeszköz</t>
  </si>
  <si>
    <t>B405</t>
  </si>
  <si>
    <t>Ellátási díjak</t>
  </si>
  <si>
    <t>Biztosító által fizetett kártérítési díjak</t>
  </si>
  <si>
    <t>B816</t>
  </si>
  <si>
    <t>Központi, irányító szervi támogatás</t>
  </si>
  <si>
    <t xml:space="preserve">041233 Hosszabb időtartamú közfoglalkoztatás               </t>
  </si>
  <si>
    <t>2020. évi KIADÁSOK részletezése</t>
  </si>
  <si>
    <t>Létszám (fő)</t>
  </si>
  <si>
    <t>Jubielumi jutalom</t>
  </si>
  <si>
    <t>K1104</t>
  </si>
  <si>
    <t>Készenléti, ügyeleti, helyettesítési díj, túlóra</t>
  </si>
  <si>
    <t>K1107</t>
  </si>
  <si>
    <t>Béren kívüli juttatások</t>
  </si>
  <si>
    <t>Munkáltató terhelő SZJA kiadásai</t>
  </si>
  <si>
    <t>Kommunikációs és informatikai szolgáltatások</t>
  </si>
  <si>
    <t xml:space="preserve">K332 </t>
  </si>
  <si>
    <t>Vásárolt élelmezés</t>
  </si>
  <si>
    <t>Belföldi kiküldetés</t>
  </si>
  <si>
    <t>Kamatkiadások</t>
  </si>
  <si>
    <t>Egyéb tárgyi eszközök beszerzése</t>
  </si>
  <si>
    <t>Beruházási célú előzetesen felszámított áfa</t>
  </si>
  <si>
    <t>jutalom</t>
  </si>
  <si>
    <t>Létszámkeret:</t>
  </si>
  <si>
    <t>Kiadások összesen:</t>
  </si>
  <si>
    <t>Tárgyi eszközök beszerzése, létesítése</t>
  </si>
  <si>
    <t>Egyéb tárgyi eszközök beszerzése (utcanév táblák)</t>
  </si>
  <si>
    <t>Ingatlanok felújítása (föld kábel elvezetése futballpálya)</t>
  </si>
  <si>
    <t>Földkábel elvezetése futballpálya</t>
  </si>
  <si>
    <t>Utcanév táblák beszerzése</t>
  </si>
  <si>
    <t>2020. módosított előirányzat (adatok Ft-ban)</t>
  </si>
  <si>
    <t>2020. módosított előirányzat</t>
  </si>
  <si>
    <t>Egyéb tárgyi eszközök beszerzése (Orvosi eszközök beszerzése)</t>
  </si>
  <si>
    <t>Ingatlanok felújítása (ravatalozó épület felújítása)</t>
  </si>
  <si>
    <t>Ingatlanok felújítása (Út felújitás Mindszentkálla 358 hrsz)</t>
  </si>
  <si>
    <t>K122</t>
  </si>
  <si>
    <t>Egyéb külső személyi juttatások (Megbízási díj)</t>
  </si>
  <si>
    <t>Szociális hozzájárulási adó és munkáltatói Szja kötlezettség</t>
  </si>
  <si>
    <t>K333</t>
  </si>
  <si>
    <t>Bérleti és lízing díjak</t>
  </si>
  <si>
    <t>Egyéb működési célú támogatás elkülönített állami pénzalapoktól (IFA tám.)</t>
  </si>
  <si>
    <t>Magyar Falu program - Orvosi eszköz beszerzése</t>
  </si>
  <si>
    <t>Magyar Falu program - Önkormányzati tulajdonban lévo útfelújítás (358 hrsz)</t>
  </si>
  <si>
    <t>Út felújítás Mindszentkálla 358 hrsz</t>
  </si>
  <si>
    <t>Orvosi eszköz beszerzés</t>
  </si>
  <si>
    <t>B52</t>
  </si>
  <si>
    <t>B5 Felhalmozási bevételek</t>
  </si>
  <si>
    <t>Ingatlanok értékesítése</t>
  </si>
  <si>
    <t>Gépek beszerzése (motoros fűkasza)</t>
  </si>
  <si>
    <t>1. melléklet az 1/2020. (II. 20.) önkormányzati rendelethez</t>
  </si>
  <si>
    <t>2. melléklet az 1/2020. (II. 20.) önkormányzati rendeletehez</t>
  </si>
  <si>
    <t>3. melléklet az 1/2020. (II. 20.) önkormányzati rendeletehez</t>
  </si>
  <si>
    <t>4. melléklet az 1/2020. (II. 20.) önkormányzati rendeletehez</t>
  </si>
  <si>
    <t>5. melléklet az 1/2020. (II. 20.) önkormányzati rendeletehez</t>
  </si>
  <si>
    <t>6. melléklet az 1/2020. (II. 20.) önkormányzati rendeletehez</t>
  </si>
  <si>
    <t>7. melléklet az 1/2020. (II. 20.) önkormányzati rendeletehez</t>
  </si>
  <si>
    <t>8. melléklet az 1/2020. (II. 20.) önkormányzati rendeletehez</t>
  </si>
  <si>
    <t>9. melléklet az 1/2020. (II. 20.) önkormányzati rendeletehez</t>
  </si>
  <si>
    <t>10. melléklet az 1/2020. (II. 20.) önkormányzati rendeletehez</t>
  </si>
  <si>
    <t>11. melléklet az 1/2020. (II. 20.) önkormányzati rendeletehez</t>
  </si>
  <si>
    <t>12. melléklet az 1/2020. (II. 20.) önkormányzati rendeletehez</t>
  </si>
  <si>
    <t>13. melléklet az 1/2020. (II. 20.) önkormányzati rendeletehez</t>
  </si>
  <si>
    <t>1. melléklet a 7/2020. (X. 05.) önkormányzati rendelethez</t>
  </si>
  <si>
    <t>2. melléklet a 7/2020. (X. 05.) önkormányzati rendelethez</t>
  </si>
  <si>
    <t>3. melléklet a 7/2020. (X. 05.) önkormányzati rendelethez</t>
  </si>
  <si>
    <t>4. melléklet a 5/2020. (X. 05.) önkormányzati rendelethez</t>
  </si>
  <si>
    <t>5. melléklet a 7/2020. (X. 05.) önkormányzati rendelethez</t>
  </si>
  <si>
    <t>6. melléklet a 7/2020. (X. 05.) önkormányzati rendelethez</t>
  </si>
  <si>
    <t xml:space="preserve">7. melléklet a 7/2020. (X. 05.) önkormányzati rendelethez  </t>
  </si>
  <si>
    <t>9. melléklet a 7/2020 (X. 05.) önkormányzati rendelethez</t>
  </si>
  <si>
    <t>10. melléklet a 7/2020. (X. 05.) önkormányzati rendelethez</t>
  </si>
  <si>
    <t>11. melléklet a 7/2020. (X. 05.) önkormányzati rendelethez</t>
  </si>
  <si>
    <t>12. melléklet a 7/2020. (X. 05.) önkormányzati rendelethez</t>
  </si>
  <si>
    <t>13. melléklet a 7/2020. (X. 05.) önkormányzati rendelethez</t>
  </si>
  <si>
    <t>8. melléklet a 7/2020. (X. 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</si>
</sst>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21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color indexed="12"/>
      <name val="Times New Roman"/>
      <family val="1"/>
      <charset val="238"/>
    </font>
    <font>
      <sz val="10"/>
      <color indexed="62"/>
      <name val="Arial"/>
      <family val="2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20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47"/>
        <bgColor indexed="26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</cellStyleXfs>
  <cellXfs count="333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/>
    <xf numFmtId="0" fontId="2" fillId="0" borderId="3" xfId="0" applyFont="1" applyBorder="1"/>
    <xf numFmtId="0" fontId="4" fillId="0" borderId="5" xfId="0" applyFont="1" applyBorder="1"/>
    <xf numFmtId="3" fontId="4" fillId="0" borderId="6" xfId="0" applyNumberFormat="1" applyFont="1" applyBorder="1"/>
    <xf numFmtId="3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justify"/>
    </xf>
    <xf numFmtId="3" fontId="0" fillId="0" borderId="0" xfId="0" applyNumberFormat="1"/>
    <xf numFmtId="0" fontId="4" fillId="0" borderId="0" xfId="0" applyFont="1" applyAlignment="1">
      <alignment horizontal="justify"/>
    </xf>
    <xf numFmtId="0" fontId="5" fillId="2" borderId="3" xfId="0" applyFont="1" applyFill="1" applyBorder="1"/>
    <xf numFmtId="0" fontId="4" fillId="2" borderId="3" xfId="0" applyFont="1" applyFill="1" applyBorder="1" applyAlignment="1">
      <alignment horizontal="justify"/>
    </xf>
    <xf numFmtId="165" fontId="1" fillId="0" borderId="0" xfId="1" applyNumberFormat="1" applyFill="1" applyBorder="1" applyAlignment="1" applyProtection="1"/>
    <xf numFmtId="0" fontId="0" fillId="0" borderId="0" xfId="6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3" fontId="4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4" fillId="3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2" fontId="4" fillId="0" borderId="0" xfId="0" applyNumberFormat="1" applyFont="1" applyFill="1"/>
    <xf numFmtId="3" fontId="2" fillId="0" borderId="9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/>
    <xf numFmtId="165" fontId="0" fillId="0" borderId="0" xfId="1" applyNumberFormat="1" applyFont="1" applyFill="1" applyBorder="1" applyAlignment="1" applyProtection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3" fontId="4" fillId="0" borderId="12" xfId="0" applyNumberFormat="1" applyFont="1" applyBorder="1"/>
    <xf numFmtId="2" fontId="4" fillId="0" borderId="0" xfId="0" applyNumberFormat="1" applyFont="1" applyAlignment="1">
      <alignment horizontal="center" wrapText="1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0" fontId="1" fillId="0" borderId="0" xfId="4"/>
    <xf numFmtId="0" fontId="0" fillId="0" borderId="0" xfId="4" applyFont="1"/>
    <xf numFmtId="0" fontId="3" fillId="0" borderId="0" xfId="4" applyFont="1" applyAlignment="1">
      <alignment horizontal="center"/>
    </xf>
    <xf numFmtId="0" fontId="7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3" fontId="2" fillId="0" borderId="0" xfId="4" applyNumberFormat="1" applyFont="1" applyAlignment="1">
      <alignment horizontal="right"/>
    </xf>
    <xf numFmtId="0" fontId="2" fillId="0" borderId="0" xfId="4" applyFont="1" applyAlignment="1">
      <alignment horizontal="right"/>
    </xf>
    <xf numFmtId="3" fontId="2" fillId="0" borderId="0" xfId="4" applyNumberFormat="1" applyFont="1"/>
    <xf numFmtId="49" fontId="4" fillId="0" borderId="0" xfId="4" applyNumberFormat="1" applyFont="1" applyAlignment="1">
      <alignment horizontal="left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8" fillId="0" borderId="0" xfId="4" applyFont="1"/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0" fontId="0" fillId="0" borderId="0" xfId="4" applyFont="1" applyAlignment="1">
      <alignment horizontal="center"/>
    </xf>
    <xf numFmtId="3" fontId="0" fillId="0" borderId="0" xfId="4" applyNumberFormat="1" applyFont="1"/>
    <xf numFmtId="0" fontId="2" fillId="0" borderId="0" xfId="6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3" fontId="9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/>
    </xf>
    <xf numFmtId="165" fontId="2" fillId="0" borderId="8" xfId="1" applyNumberFormat="1" applyFont="1" applyFill="1" applyBorder="1" applyAlignment="1" applyProtection="1">
      <alignment vertical="center"/>
    </xf>
    <xf numFmtId="165" fontId="9" fillId="0" borderId="8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4" fillId="0" borderId="8" xfId="0" applyFont="1" applyBorder="1"/>
    <xf numFmtId="3" fontId="4" fillId="0" borderId="8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4" fillId="3" borderId="2" xfId="0" applyNumberFormat="1" applyFont="1" applyFill="1" applyBorder="1"/>
    <xf numFmtId="3" fontId="11" fillId="0" borderId="2" xfId="0" applyNumberFormat="1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3" borderId="11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3" fontId="1" fillId="0" borderId="0" xfId="4" applyNumberFormat="1"/>
    <xf numFmtId="165" fontId="13" fillId="0" borderId="0" xfId="1" applyNumberFormat="1" applyFont="1" applyFill="1" applyBorder="1" applyAlignment="1" applyProtection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3" fontId="2" fillId="0" borderId="0" xfId="2" applyNumberFormat="1" applyAlignment="1">
      <alignment horizontal="right" vertical="center" wrapText="1"/>
    </xf>
    <xf numFmtId="0" fontId="2" fillId="0" borderId="0" xfId="2" applyFont="1" applyAlignment="1">
      <alignment vertical="center" wrapText="1"/>
    </xf>
    <xf numFmtId="0" fontId="2" fillId="0" borderId="3" xfId="2" applyBorder="1"/>
    <xf numFmtId="0" fontId="4" fillId="0" borderId="3" xfId="2" applyFont="1" applyBorder="1" applyAlignment="1">
      <alignment wrapText="1"/>
    </xf>
    <xf numFmtId="3" fontId="4" fillId="0" borderId="3" xfId="2" applyNumberFormat="1" applyFont="1" applyBorder="1" applyAlignment="1">
      <alignment vertical="center"/>
    </xf>
    <xf numFmtId="0" fontId="4" fillId="0" borderId="0" xfId="2" applyFont="1" applyAlignment="1">
      <alignment wrapText="1"/>
    </xf>
    <xf numFmtId="0" fontId="2" fillId="0" borderId="0" xfId="4" applyFont="1" applyAlignment="1">
      <alignment horizontal="justify"/>
    </xf>
    <xf numFmtId="3" fontId="4" fillId="0" borderId="3" xfId="2" applyNumberFormat="1" applyFont="1" applyBorder="1" applyAlignment="1">
      <alignment horizontal="right" wrapText="1"/>
    </xf>
    <xf numFmtId="4" fontId="2" fillId="0" borderId="0" xfId="2" applyNumberFormat="1"/>
    <xf numFmtId="3" fontId="2" fillId="0" borderId="0" xfId="2" applyNumberFormat="1"/>
    <xf numFmtId="0" fontId="2" fillId="0" borderId="0" xfId="2" applyAlignment="1">
      <alignment horizontal="right"/>
    </xf>
    <xf numFmtId="0" fontId="4" fillId="0" borderId="15" xfId="2" applyFont="1" applyBorder="1" applyAlignment="1">
      <alignment horizontal="center" vertical="center" wrapText="1"/>
    </xf>
    <xf numFmtId="3" fontId="2" fillId="0" borderId="14" xfId="2" applyNumberFormat="1" applyBorder="1" applyAlignment="1">
      <alignment horizontal="right" vertical="center" wrapText="1"/>
    </xf>
    <xf numFmtId="3" fontId="4" fillId="0" borderId="3" xfId="2" applyNumberFormat="1" applyFont="1" applyBorder="1" applyAlignment="1">
      <alignment horizontal="right" vertical="center" wrapText="1"/>
    </xf>
    <xf numFmtId="0" fontId="2" fillId="0" borderId="11" xfId="2" applyBorder="1"/>
    <xf numFmtId="0" fontId="4" fillId="0" borderId="11" xfId="2" applyFont="1" applyBorder="1" applyAlignment="1">
      <alignment wrapText="1"/>
    </xf>
    <xf numFmtId="3" fontId="4" fillId="0" borderId="11" xfId="2" applyNumberFormat="1" applyFont="1" applyBorder="1" applyAlignment="1">
      <alignment wrapText="1"/>
    </xf>
    <xf numFmtId="0" fontId="14" fillId="0" borderId="0" xfId="0" applyFont="1"/>
    <xf numFmtId="0" fontId="2" fillId="0" borderId="0" xfId="0" applyFont="1" applyAlignment="1">
      <alignment horizontal="right" vertical="center"/>
    </xf>
    <xf numFmtId="3" fontId="2" fillId="0" borderId="13" xfId="0" applyNumberFormat="1" applyFont="1" applyBorder="1"/>
    <xf numFmtId="3" fontId="4" fillId="0" borderId="1" xfId="0" applyNumberFormat="1" applyFont="1" applyBorder="1" applyAlignment="1">
      <alignment horizontal="right"/>
    </xf>
    <xf numFmtId="0" fontId="15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9" fillId="0" borderId="0" xfId="5"/>
    <xf numFmtId="0" fontId="2" fillId="0" borderId="0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0" fillId="0" borderId="0" xfId="0" applyAlignment="1">
      <alignment horizontal="right"/>
    </xf>
    <xf numFmtId="0" fontId="2" fillId="0" borderId="0" xfId="3"/>
    <xf numFmtId="0" fontId="2" fillId="0" borderId="0" xfId="3" applyAlignment="1">
      <alignment horizontal="center" vertical="center"/>
    </xf>
    <xf numFmtId="3" fontId="4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left" vertical="center"/>
    </xf>
    <xf numFmtId="0" fontId="2" fillId="0" borderId="0" xfId="3" applyAlignment="1">
      <alignment horizontal="left"/>
    </xf>
    <xf numFmtId="3" fontId="2" fillId="0" borderId="1" xfId="3" applyNumberFormat="1" applyBorder="1" applyAlignment="1">
      <alignment horizontal="right" vertical="center"/>
    </xf>
    <xf numFmtId="0" fontId="4" fillId="0" borderId="0" xfId="3" applyFont="1"/>
    <xf numFmtId="0" fontId="8" fillId="0" borderId="0" xfId="0" applyFont="1" applyAlignment="1">
      <alignment wrapText="1"/>
    </xf>
    <xf numFmtId="0" fontId="0" fillId="0" borderId="0" xfId="6" applyFont="1" applyAlignment="1">
      <alignment wrapText="1"/>
    </xf>
    <xf numFmtId="0" fontId="0" fillId="0" borderId="0" xfId="0" applyAlignme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6" applyNumberFormat="1" applyFont="1" applyAlignment="1">
      <alignment wrapText="1"/>
    </xf>
    <xf numFmtId="0" fontId="4" fillId="0" borderId="0" xfId="6" applyFont="1"/>
    <xf numFmtId="0" fontId="2" fillId="0" borderId="7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3" fontId="2" fillId="0" borderId="17" xfId="0" applyNumberFormat="1" applyFont="1" applyBorder="1" applyAlignment="1">
      <alignment horizontal="center"/>
    </xf>
    <xf numFmtId="3" fontId="1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164" fontId="1" fillId="0" borderId="0" xfId="1" applyFill="1" applyBorder="1" applyAlignment="1" applyProtection="1"/>
    <xf numFmtId="0" fontId="4" fillId="3" borderId="18" xfId="0" applyFont="1" applyFill="1" applyBorder="1"/>
    <xf numFmtId="0" fontId="1" fillId="0" borderId="0" xfId="6"/>
    <xf numFmtId="0" fontId="8" fillId="0" borderId="0" xfId="6" applyFont="1"/>
    <xf numFmtId="3" fontId="4" fillId="0" borderId="10" xfId="6" applyNumberFormat="1" applyFont="1" applyBorder="1" applyAlignment="1">
      <alignment horizontal="center" vertical="center" wrapText="1"/>
    </xf>
    <xf numFmtId="4" fontId="4" fillId="3" borderId="2" xfId="6" applyNumberFormat="1" applyFont="1" applyFill="1" applyBorder="1"/>
    <xf numFmtId="3" fontId="4" fillId="3" borderId="19" xfId="6" applyNumberFormat="1" applyFont="1" applyFill="1" applyBorder="1"/>
    <xf numFmtId="3" fontId="9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5" fontId="2" fillId="0" borderId="14" xfId="1" applyNumberFormat="1" applyFont="1" applyFill="1" applyBorder="1" applyAlignment="1" applyProtection="1">
      <alignment horizontal="center"/>
    </xf>
    <xf numFmtId="3" fontId="4" fillId="0" borderId="14" xfId="0" applyNumberFormat="1" applyFont="1" applyBorder="1"/>
    <xf numFmtId="3" fontId="2" fillId="0" borderId="0" xfId="0" applyNumberFormat="1" applyFont="1" applyBorder="1"/>
    <xf numFmtId="3" fontId="2" fillId="0" borderId="14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17" xfId="0" applyFont="1" applyBorder="1"/>
    <xf numFmtId="4" fontId="4" fillId="3" borderId="20" xfId="6" applyNumberFormat="1" applyFont="1" applyFill="1" applyBorder="1"/>
    <xf numFmtId="3" fontId="4" fillId="3" borderId="21" xfId="6" applyNumberFormat="1" applyFont="1" applyFill="1" applyBorder="1"/>
    <xf numFmtId="0" fontId="4" fillId="3" borderId="10" xfId="6" applyFont="1" applyFill="1" applyBorder="1"/>
    <xf numFmtId="0" fontId="4" fillId="3" borderId="11" xfId="6" applyFont="1" applyFill="1" applyBorder="1"/>
    <xf numFmtId="0" fontId="4" fillId="3" borderId="18" xfId="6" applyFont="1" applyFill="1" applyBorder="1"/>
    <xf numFmtId="3" fontId="4" fillId="3" borderId="22" xfId="6" applyNumberFormat="1" applyFont="1" applyFill="1" applyBorder="1"/>
    <xf numFmtId="0" fontId="4" fillId="0" borderId="10" xfId="6" applyFont="1" applyBorder="1"/>
    <xf numFmtId="0" fontId="4" fillId="0" borderId="11" xfId="6" applyFont="1" applyBorder="1"/>
    <xf numFmtId="0" fontId="4" fillId="0" borderId="18" xfId="6" applyFont="1" applyBorder="1"/>
    <xf numFmtId="4" fontId="4" fillId="0" borderId="18" xfId="6" applyNumberFormat="1" applyFont="1" applyBorder="1"/>
    <xf numFmtId="4" fontId="4" fillId="0" borderId="13" xfId="6" applyNumberFormat="1" applyFont="1" applyBorder="1"/>
    <xf numFmtId="0" fontId="4" fillId="0" borderId="8" xfId="0" applyFont="1" applyFill="1" applyBorder="1" applyAlignment="1">
      <alignment horizontal="left"/>
    </xf>
    <xf numFmtId="3" fontId="4" fillId="0" borderId="0" xfId="6" applyNumberFormat="1" applyFont="1" applyAlignment="1">
      <alignment vertical="center"/>
    </xf>
    <xf numFmtId="0" fontId="4" fillId="0" borderId="8" xfId="0" applyFont="1" applyFill="1" applyBorder="1" applyAlignment="1"/>
    <xf numFmtId="3" fontId="4" fillId="0" borderId="0" xfId="6" applyNumberFormat="1" applyFont="1"/>
    <xf numFmtId="3" fontId="4" fillId="0" borderId="0" xfId="6" applyNumberFormat="1" applyFont="1" applyBorder="1"/>
    <xf numFmtId="0" fontId="2" fillId="0" borderId="0" xfId="6" applyFont="1"/>
    <xf numFmtId="3" fontId="4" fillId="3" borderId="13" xfId="6" applyNumberFormat="1" applyFont="1" applyFill="1" applyBorder="1"/>
    <xf numFmtId="4" fontId="4" fillId="0" borderId="0" xfId="6" applyNumberFormat="1" applyFont="1" applyAlignment="1">
      <alignment horizontal="right" vertical="center"/>
    </xf>
    <xf numFmtId="4" fontId="4" fillId="0" borderId="0" xfId="6" applyNumberFormat="1" applyFont="1" applyAlignment="1">
      <alignment horizontal="right"/>
    </xf>
    <xf numFmtId="0" fontId="4" fillId="0" borderId="0" xfId="6" applyFont="1" applyBorder="1"/>
    <xf numFmtId="4" fontId="4" fillId="0" borderId="0" xfId="6" applyNumberFormat="1" applyFont="1" applyBorder="1" applyAlignment="1">
      <alignment horizontal="right"/>
    </xf>
    <xf numFmtId="0" fontId="8" fillId="0" borderId="0" xfId="6" applyFont="1" applyBorder="1"/>
    <xf numFmtId="0" fontId="4" fillId="0" borderId="0" xfId="6" applyFont="1" applyBorder="1" applyAlignment="1">
      <alignment horizontal="right"/>
    </xf>
    <xf numFmtId="3" fontId="2" fillId="0" borderId="0" xfId="6" applyNumberFormat="1" applyFont="1"/>
    <xf numFmtId="0" fontId="4" fillId="0" borderId="1" xfId="3" applyFont="1" applyBorder="1" applyAlignment="1">
      <alignment horizontal="left"/>
    </xf>
    <xf numFmtId="3" fontId="4" fillId="0" borderId="1" xfId="3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3" fontId="2" fillId="0" borderId="9" xfId="0" applyNumberFormat="1" applyFont="1" applyBorder="1" applyAlignment="1">
      <alignment horizontal="center"/>
    </xf>
    <xf numFmtId="0" fontId="2" fillId="0" borderId="0" xfId="6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4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4" borderId="1" xfId="2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 applyProtection="1"/>
    <xf numFmtId="165" fontId="8" fillId="0" borderId="0" xfId="1" applyNumberFormat="1" applyFont="1"/>
    <xf numFmtId="165" fontId="18" fillId="0" borderId="0" xfId="1" applyNumberFormat="1" applyFont="1" applyAlignment="1">
      <alignment horizontal="center"/>
    </xf>
    <xf numFmtId="0" fontId="19" fillId="0" borderId="0" xfId="6" applyFont="1"/>
    <xf numFmtId="0" fontId="18" fillId="0" borderId="0" xfId="6" applyFont="1"/>
    <xf numFmtId="3" fontId="18" fillId="0" borderId="0" xfId="0" applyNumberFormat="1" applyFont="1"/>
    <xf numFmtId="0" fontId="8" fillId="0" borderId="0" xfId="0" applyFont="1"/>
    <xf numFmtId="0" fontId="18" fillId="0" borderId="0" xfId="0" applyFont="1"/>
    <xf numFmtId="0" fontId="8" fillId="0" borderId="0" xfId="0" applyFont="1" applyAlignment="1">
      <alignment horizontal="right"/>
    </xf>
    <xf numFmtId="165" fontId="8" fillId="0" borderId="0" xfId="0" applyNumberFormat="1" applyFont="1"/>
    <xf numFmtId="3" fontId="1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right"/>
    </xf>
    <xf numFmtId="165" fontId="1" fillId="0" borderId="0" xfId="1" applyNumberFormat="1" applyAlignment="1">
      <alignment horizontal="right"/>
    </xf>
    <xf numFmtId="0" fontId="2" fillId="0" borderId="24" xfId="3" applyFont="1" applyBorder="1" applyAlignment="1">
      <alignment horizontal="left" vertical="center"/>
    </xf>
    <xf numFmtId="3" fontId="2" fillId="0" borderId="24" xfId="3" applyNumberFormat="1" applyBorder="1" applyAlignment="1">
      <alignment horizontal="right" vertical="center"/>
    </xf>
    <xf numFmtId="0" fontId="2" fillId="0" borderId="25" xfId="3" applyFont="1" applyBorder="1" applyAlignment="1">
      <alignment horizontal="left" vertical="center"/>
    </xf>
    <xf numFmtId="3" fontId="2" fillId="0" borderId="25" xfId="3" applyNumberFormat="1" applyBorder="1" applyAlignment="1">
      <alignment horizontal="right" vertical="center"/>
    </xf>
    <xf numFmtId="3" fontId="4" fillId="0" borderId="23" xfId="3" applyNumberFormat="1" applyFont="1" applyBorder="1" applyAlignment="1">
      <alignment horizontal="center" vertical="center"/>
    </xf>
    <xf numFmtId="0" fontId="4" fillId="0" borderId="24" xfId="3" applyFont="1" applyBorder="1" applyAlignment="1">
      <alignment horizontal="left" vertical="center"/>
    </xf>
    <xf numFmtId="3" fontId="4" fillId="0" borderId="24" xfId="3" applyNumberFormat="1" applyFont="1" applyBorder="1" applyAlignment="1">
      <alignment horizontal="right" vertical="center"/>
    </xf>
    <xf numFmtId="0" fontId="4" fillId="0" borderId="26" xfId="3" applyFont="1" applyBorder="1" applyAlignment="1">
      <alignment horizontal="left"/>
    </xf>
    <xf numFmtId="3" fontId="4" fillId="0" borderId="26" xfId="3" applyNumberFormat="1" applyFont="1" applyBorder="1" applyAlignment="1">
      <alignment horizontal="right"/>
    </xf>
    <xf numFmtId="3" fontId="19" fillId="0" borderId="0" xfId="5" applyNumberFormat="1"/>
    <xf numFmtId="0" fontId="0" fillId="0" borderId="0" xfId="5" applyFont="1"/>
    <xf numFmtId="165" fontId="1" fillId="0" borderId="0" xfId="1" applyNumberFormat="1"/>
    <xf numFmtId="165" fontId="19" fillId="0" borderId="0" xfId="5" applyNumberFormat="1"/>
    <xf numFmtId="165" fontId="14" fillId="0" borderId="0" xfId="0" applyNumberFormat="1" applyFont="1"/>
    <xf numFmtId="0" fontId="2" fillId="0" borderId="0" xfId="6" applyFont="1" applyBorder="1" applyAlignment="1">
      <alignment horizontal="right"/>
    </xf>
    <xf numFmtId="165" fontId="2" fillId="0" borderId="8" xfId="1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" applyFont="1" applyBorder="1" applyAlignment="1">
      <alignment horizontal="right"/>
    </xf>
    <xf numFmtId="0" fontId="0" fillId="0" borderId="0" xfId="0" applyAlignment="1">
      <alignment horizontal="right"/>
    </xf>
    <xf numFmtId="0" fontId="4" fillId="3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4" fillId="3" borderId="0" xfId="0" applyFont="1" applyFill="1" applyBorder="1"/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2" fillId="0" borderId="0" xfId="5" applyFont="1" applyBorder="1" applyAlignment="1">
      <alignment horizontal="right"/>
    </xf>
    <xf numFmtId="0" fontId="2" fillId="0" borderId="0" xfId="3" applyFont="1" applyBorder="1" applyAlignment="1">
      <alignment horizontal="center" vertical="center"/>
    </xf>
    <xf numFmtId="0" fontId="4" fillId="3" borderId="20" xfId="6" applyFont="1" applyFill="1" applyBorder="1" applyAlignment="1">
      <alignment horizontal="left"/>
    </xf>
    <xf numFmtId="0" fontId="4" fillId="3" borderId="6" xfId="6" applyFont="1" applyFill="1" applyBorder="1" applyAlignment="1">
      <alignment horizontal="left"/>
    </xf>
    <xf numFmtId="0" fontId="4" fillId="3" borderId="2" xfId="6" applyFont="1" applyFill="1" applyBorder="1" applyAlignment="1">
      <alignment horizontal="left"/>
    </xf>
    <xf numFmtId="0" fontId="4" fillId="0" borderId="1" xfId="6" applyFont="1" applyBorder="1" applyAlignment="1">
      <alignment horizontal="center" vertical="center"/>
    </xf>
    <xf numFmtId="3" fontId="4" fillId="0" borderId="1" xfId="6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</cellXfs>
  <cellStyles count="7">
    <cellStyle name="Ezres" xfId="1" builtinId="3"/>
    <cellStyle name="Normál" xfId="0" builtinId="0"/>
    <cellStyle name="Normál_2010. évi költségvetés mellékletek" xfId="2" xr:uid="{00000000-0005-0000-0000-000002000000}"/>
    <cellStyle name="Normál_2010. évi költségvetés mellékletek_Mkálla 3.4 éves ktgvetés mód. 2013. 2" xfId="3" xr:uid="{00000000-0005-0000-0000-000003000000}"/>
    <cellStyle name="Normál_Köveskál 2014. évi költségvetés" xfId="4" xr:uid="{00000000-0005-0000-0000-000004000000}"/>
    <cellStyle name="Normál_Mkálla 3.4 éves ktgvetés mód. 2013. 2" xfId="5" xr:uid="{00000000-0005-0000-0000-000005000000}"/>
    <cellStyle name="Normál_Mkálla ktgvetés 2013.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view="pageBreakPreview" zoomScale="120" zoomScaleNormal="120" zoomScaleSheetLayoutView="120" workbookViewId="0">
      <selection sqref="A1:D1"/>
    </sheetView>
  </sheetViews>
  <sheetFormatPr defaultColWidth="9.140625" defaultRowHeight="12.75" x14ac:dyDescent="0.2"/>
  <cols>
    <col min="1" max="1" width="4.42578125" style="1" customWidth="1"/>
    <col min="2" max="2" width="66.42578125" style="1" customWidth="1"/>
    <col min="3" max="4" width="16.28515625" style="1" customWidth="1"/>
    <col min="5" max="5" width="12.85546875" style="2" customWidth="1"/>
    <col min="6" max="16384" width="9.140625" style="1"/>
  </cols>
  <sheetData>
    <row r="1" spans="1:5" ht="15.75" x14ac:dyDescent="0.25">
      <c r="A1" s="290" t="s">
        <v>365</v>
      </c>
      <c r="B1" s="290"/>
      <c r="C1" s="290"/>
      <c r="D1" s="290"/>
    </row>
    <row r="2" spans="1:5" s="4" customFormat="1" ht="15.75" x14ac:dyDescent="0.25">
      <c r="A2" s="290" t="s">
        <v>352</v>
      </c>
      <c r="B2" s="290"/>
      <c r="C2" s="290"/>
      <c r="D2" s="290"/>
      <c r="E2" s="3"/>
    </row>
    <row r="3" spans="1:5" s="4" customFormat="1" ht="15.75" x14ac:dyDescent="0.25">
      <c r="A3" s="5"/>
      <c r="B3" s="5"/>
      <c r="E3" s="3"/>
    </row>
    <row r="4" spans="1:5" s="4" customFormat="1" ht="24.75" customHeight="1" x14ac:dyDescent="0.25">
      <c r="A4" s="291" t="s">
        <v>0</v>
      </c>
      <c r="B4" s="291"/>
      <c r="C4" s="291"/>
      <c r="D4" s="292"/>
      <c r="E4" s="3"/>
    </row>
    <row r="5" spans="1:5" s="4" customFormat="1" ht="26.25" customHeight="1" x14ac:dyDescent="0.25">
      <c r="A5" s="291" t="s">
        <v>1</v>
      </c>
      <c r="B5" s="291"/>
      <c r="C5" s="291"/>
      <c r="D5" s="292"/>
      <c r="E5" s="3"/>
    </row>
    <row r="6" spans="1:5" s="7" customFormat="1" ht="19.5" customHeight="1" x14ac:dyDescent="0.25">
      <c r="A6" s="6"/>
      <c r="B6" s="6"/>
      <c r="E6" s="8"/>
    </row>
    <row r="7" spans="1:5" s="4" customFormat="1" ht="32.25" customHeight="1" x14ac:dyDescent="0.25">
      <c r="A7" s="289" t="s">
        <v>2</v>
      </c>
      <c r="B7" s="289"/>
      <c r="C7" s="9" t="s">
        <v>3</v>
      </c>
      <c r="D7" s="9" t="s">
        <v>3</v>
      </c>
      <c r="E7" s="3"/>
    </row>
    <row r="8" spans="1:5" s="4" customFormat="1" ht="24" customHeight="1" x14ac:dyDescent="0.25">
      <c r="A8" s="289"/>
      <c r="B8" s="289"/>
      <c r="C8" s="9" t="s">
        <v>4</v>
      </c>
      <c r="D8" s="9" t="s">
        <v>128</v>
      </c>
      <c r="E8" s="3"/>
    </row>
    <row r="9" spans="1:5" s="4" customFormat="1" ht="31.5" customHeight="1" x14ac:dyDescent="0.25">
      <c r="A9" s="10"/>
      <c r="B9" s="10" t="s">
        <v>5</v>
      </c>
      <c r="C9" s="11">
        <f>SUM(C10:C14)</f>
        <v>92377727</v>
      </c>
      <c r="D9" s="11">
        <f>SUM(D10:D14)</f>
        <v>94380499</v>
      </c>
      <c r="E9" s="3"/>
    </row>
    <row r="10" spans="1:5" s="4" customFormat="1" ht="15.75" x14ac:dyDescent="0.25">
      <c r="A10" s="4" t="s">
        <v>6</v>
      </c>
      <c r="B10" s="12" t="s">
        <v>7</v>
      </c>
      <c r="C10" s="13">
        <f>'7.Táj.adatok műk.'!E8</f>
        <v>56212727</v>
      </c>
      <c r="D10" s="13">
        <f>'7.Táj.adatok műk.'!F8</f>
        <v>59629888</v>
      </c>
      <c r="E10" s="3"/>
    </row>
    <row r="11" spans="1:5" s="4" customFormat="1" ht="15.75" x14ac:dyDescent="0.25">
      <c r="A11" s="4" t="s">
        <v>8</v>
      </c>
      <c r="B11" s="12" t="s">
        <v>9</v>
      </c>
      <c r="C11" s="13">
        <f>'7.Táj.adatok műk.'!E9</f>
        <v>8930000</v>
      </c>
      <c r="D11" s="13">
        <f>'7.Táj.adatok műk.'!F9</f>
        <v>6945611</v>
      </c>
      <c r="E11" s="3"/>
    </row>
    <row r="12" spans="1:5" s="4" customFormat="1" ht="15.75" x14ac:dyDescent="0.25">
      <c r="A12" s="4" t="s">
        <v>10</v>
      </c>
      <c r="B12" s="12" t="s">
        <v>11</v>
      </c>
      <c r="C12" s="13">
        <f>'7.Táj.adatok műk.'!E10</f>
        <v>27180000</v>
      </c>
      <c r="D12" s="13">
        <f>'7.Táj.adatok műk.'!F10</f>
        <v>27150000</v>
      </c>
      <c r="E12" s="3"/>
    </row>
    <row r="13" spans="1:5" s="4" customFormat="1" ht="15.75" x14ac:dyDescent="0.25">
      <c r="A13" s="4" t="s">
        <v>281</v>
      </c>
      <c r="B13" s="12" t="s">
        <v>282</v>
      </c>
      <c r="C13" s="13">
        <v>0</v>
      </c>
      <c r="D13" s="13">
        <f>'8.Táj.adatok felh.'!F9</f>
        <v>600000</v>
      </c>
      <c r="E13" s="3"/>
    </row>
    <row r="14" spans="1:5" s="4" customFormat="1" ht="15.75" x14ac:dyDescent="0.25">
      <c r="A14" s="4" t="s">
        <v>12</v>
      </c>
      <c r="B14" s="12" t="s">
        <v>13</v>
      </c>
      <c r="C14" s="13">
        <f>'7.Táj.adatok műk.'!E11</f>
        <v>55000</v>
      </c>
      <c r="D14" s="13">
        <f>'7.Táj.adatok műk.'!F11</f>
        <v>55000</v>
      </c>
      <c r="E14" s="3"/>
    </row>
    <row r="15" spans="1:5" s="4" customFormat="1" ht="29.25" customHeight="1" x14ac:dyDescent="0.25">
      <c r="A15" s="10"/>
      <c r="B15" s="10" t="s">
        <v>14</v>
      </c>
      <c r="C15" s="11">
        <f>SUM(C16)</f>
        <v>0</v>
      </c>
      <c r="D15" s="11">
        <f>SUM(D16)</f>
        <v>7013517</v>
      </c>
      <c r="E15" s="3"/>
    </row>
    <row r="16" spans="1:5" s="4" customFormat="1" ht="17.25" customHeight="1" x14ac:dyDescent="0.25">
      <c r="A16" s="4" t="s">
        <v>15</v>
      </c>
      <c r="B16" s="4" t="s">
        <v>16</v>
      </c>
      <c r="C16" s="13">
        <f>'8.Táj.adatok felh.'!E8</f>
        <v>0</v>
      </c>
      <c r="D16" s="13">
        <f>'8.Táj.adatok felh.'!F8</f>
        <v>7013517</v>
      </c>
      <c r="E16" s="3"/>
    </row>
    <row r="17" spans="1:256" s="4" customFormat="1" ht="30" customHeight="1" x14ac:dyDescent="0.25">
      <c r="A17" s="10" t="s">
        <v>17</v>
      </c>
      <c r="B17" s="14" t="s">
        <v>18</v>
      </c>
      <c r="C17" s="11">
        <f>'7.Táj.adatok műk.'!E12</f>
        <v>38068973</v>
      </c>
      <c r="D17" s="11">
        <f>'7.Táj.adatok műk.'!F12</f>
        <v>38068973</v>
      </c>
      <c r="E17" s="3"/>
    </row>
    <row r="18" spans="1:256" s="17" customFormat="1" ht="30" customHeight="1" x14ac:dyDescent="0.25">
      <c r="A18" s="15"/>
      <c r="B18" s="15" t="s">
        <v>19</v>
      </c>
      <c r="C18" s="16">
        <f>SUM(C9+C15+C17)</f>
        <v>130446700</v>
      </c>
      <c r="D18" s="16">
        <f>SUM(D9+D15+D17)</f>
        <v>139462989</v>
      </c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  <row r="19" spans="1:256" s="21" customFormat="1" ht="30" customHeight="1" x14ac:dyDescent="0.25">
      <c r="A19" s="18"/>
      <c r="B19" s="18" t="s">
        <v>20</v>
      </c>
      <c r="C19" s="19">
        <f>SUM(C20:C24)</f>
        <v>117156981.22499999</v>
      </c>
      <c r="D19" s="19">
        <f>SUM(D20:D24)</f>
        <v>114446673.25</v>
      </c>
      <c r="E19" s="20"/>
    </row>
    <row r="20" spans="1:256" ht="15.75" x14ac:dyDescent="0.25">
      <c r="A20" s="4" t="s">
        <v>21</v>
      </c>
      <c r="B20" s="22" t="s">
        <v>22</v>
      </c>
      <c r="C20" s="13">
        <f>'7.Táj.adatok műk.'!E15</f>
        <v>47116583</v>
      </c>
      <c r="D20" s="13">
        <f>'7.Táj.adatok műk.'!F15</f>
        <v>50406313</v>
      </c>
      <c r="E20" s="2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x14ac:dyDescent="0.25">
      <c r="A21" s="4" t="s">
        <v>23</v>
      </c>
      <c r="B21" s="4" t="s">
        <v>24</v>
      </c>
      <c r="C21" s="13">
        <f>'7.Táj.adatok műk.'!E16</f>
        <v>7889789.2249999996</v>
      </c>
      <c r="D21" s="13">
        <f>'7.Táj.adatok műk.'!F16</f>
        <v>8493222.25</v>
      </c>
      <c r="E21" s="2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x14ac:dyDescent="0.25">
      <c r="A22" s="4" t="s">
        <v>25</v>
      </c>
      <c r="B22" s="12" t="s">
        <v>26</v>
      </c>
      <c r="C22" s="13">
        <f>'7.Táj.adatok műk.'!E17</f>
        <v>36888719</v>
      </c>
      <c r="D22" s="13">
        <f>'7.Táj.adatok műk.'!F17</f>
        <v>35996763</v>
      </c>
      <c r="E22" s="2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x14ac:dyDescent="0.25">
      <c r="A23" s="4" t="s">
        <v>27</v>
      </c>
      <c r="B23" s="22" t="s">
        <v>28</v>
      </c>
      <c r="C23" s="13">
        <f>'7.Táj.adatok műk.'!E18</f>
        <v>2950000</v>
      </c>
      <c r="D23" s="13">
        <f>'7.Táj.adatok műk.'!F18</f>
        <v>2950000</v>
      </c>
      <c r="E23" s="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x14ac:dyDescent="0.25">
      <c r="A24" s="4" t="s">
        <v>29</v>
      </c>
      <c r="B24" s="22" t="s">
        <v>30</v>
      </c>
      <c r="C24" s="13">
        <f>'7.Táj.adatok műk.'!E19</f>
        <v>22311890</v>
      </c>
      <c r="D24" s="13">
        <f>'7.Táj.adatok műk.'!F19</f>
        <v>16600375</v>
      </c>
      <c r="E24" s="2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1" customFormat="1" ht="28.5" customHeight="1" x14ac:dyDescent="0.25">
      <c r="A25" s="10"/>
      <c r="B25" s="10" t="s">
        <v>31</v>
      </c>
      <c r="C25" s="11">
        <f>SUM(C26:C27)</f>
        <v>9389718.5599999987</v>
      </c>
      <c r="D25" s="11">
        <f>SUM(D26:D27)</f>
        <v>21116315.34</v>
      </c>
      <c r="E25" s="20"/>
    </row>
    <row r="26" spans="1:256" ht="17.25" customHeight="1" x14ac:dyDescent="0.25">
      <c r="A26" s="4" t="s">
        <v>32</v>
      </c>
      <c r="B26" s="4" t="s">
        <v>33</v>
      </c>
      <c r="C26" s="13">
        <f>'8.Táj.adatok felh.'!E13</f>
        <v>700000.10000000009</v>
      </c>
      <c r="D26" s="13">
        <f>'8.Táj.adatok felh.'!F13</f>
        <v>1794399.74</v>
      </c>
      <c r="E26" s="2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x14ac:dyDescent="0.25">
      <c r="A27" s="4" t="s">
        <v>34</v>
      </c>
      <c r="B27" s="22" t="s">
        <v>35</v>
      </c>
      <c r="C27" s="13">
        <f>'8.Táj.adatok felh.'!E14</f>
        <v>8689718.459999999</v>
      </c>
      <c r="D27" s="13">
        <f>'8.Táj.adatok felh.'!F14</f>
        <v>19321915.600000001</v>
      </c>
      <c r="E27" s="2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1" customFormat="1" ht="27.75" customHeight="1" x14ac:dyDescent="0.25">
      <c r="A28" s="10" t="s">
        <v>36</v>
      </c>
      <c r="B28" s="24" t="s">
        <v>37</v>
      </c>
      <c r="C28" s="11">
        <f>'7.Táj.adatok műk.'!E20</f>
        <v>3900000</v>
      </c>
      <c r="D28" s="11">
        <f>'7.Táj.adatok műk.'!F20</f>
        <v>3900000</v>
      </c>
      <c r="E28" s="20"/>
    </row>
    <row r="29" spans="1:256" s="21" customFormat="1" ht="28.5" customHeight="1" x14ac:dyDescent="0.25">
      <c r="A29" s="25"/>
      <c r="B29" s="26" t="s">
        <v>38</v>
      </c>
      <c r="C29" s="16">
        <f>SUM(C19+C25+C28)</f>
        <v>130446699.785</v>
      </c>
      <c r="D29" s="16">
        <f>SUM(D19+D25+D28)</f>
        <v>139462988.59</v>
      </c>
      <c r="E29" s="20"/>
    </row>
    <row r="30" spans="1:256" x14ac:dyDescent="0.2">
      <c r="A30"/>
      <c r="B30"/>
      <c r="C30" s="27"/>
      <c r="D30" s="27"/>
      <c r="E30" s="2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">
      <c r="C31" s="27"/>
      <c r="D31" s="27"/>
    </row>
  </sheetData>
  <sheetProtection selectLockedCells="1" selectUnlockedCells="1"/>
  <mergeCells count="5">
    <mergeCell ref="A7:B8"/>
    <mergeCell ref="A1:D1"/>
    <mergeCell ref="A2:D2"/>
    <mergeCell ref="A4:D4"/>
    <mergeCell ref="A5:D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zoomScale="110" zoomScaleNormal="110" zoomScaleSheetLayoutView="120" workbookViewId="0">
      <selection sqref="A1:C1"/>
    </sheetView>
  </sheetViews>
  <sheetFormatPr defaultColWidth="9.140625" defaultRowHeight="12.75" x14ac:dyDescent="0.2"/>
  <cols>
    <col min="1" max="1" width="64" style="179" customWidth="1"/>
    <col min="2" max="3" width="21.85546875" style="179" customWidth="1"/>
    <col min="4" max="16384" width="9.140625" style="179"/>
  </cols>
  <sheetData>
    <row r="1" spans="1:3" ht="15.75" x14ac:dyDescent="0.25">
      <c r="A1" s="324" t="s">
        <v>373</v>
      </c>
      <c r="B1" s="324"/>
      <c r="C1" s="294"/>
    </row>
    <row r="2" spans="1:3" ht="15.75" x14ac:dyDescent="0.25">
      <c r="A2" s="324" t="s">
        <v>361</v>
      </c>
      <c r="B2" s="324"/>
      <c r="C2" s="294"/>
    </row>
    <row r="3" spans="1:3" ht="15.75" x14ac:dyDescent="0.25">
      <c r="A3" s="181"/>
      <c r="B3" s="182"/>
      <c r="C3" s="182"/>
    </row>
    <row r="4" spans="1:3" s="183" customFormat="1" ht="21" customHeight="1" x14ac:dyDescent="0.25">
      <c r="A4" s="325" t="s">
        <v>0</v>
      </c>
      <c r="B4" s="325"/>
      <c r="C4" s="292"/>
    </row>
    <row r="5" spans="1:3" s="183" customFormat="1" ht="23.25" customHeight="1" x14ac:dyDescent="0.25">
      <c r="A5" s="325" t="s">
        <v>295</v>
      </c>
      <c r="B5" s="325"/>
      <c r="C5" s="292"/>
    </row>
    <row r="6" spans="1:3" s="183" customFormat="1" ht="23.25" customHeight="1" x14ac:dyDescent="0.25">
      <c r="A6" s="184"/>
      <c r="B6" s="184"/>
      <c r="C6" s="184"/>
    </row>
    <row r="7" spans="1:3" s="183" customFormat="1" ht="15.75" customHeight="1" x14ac:dyDescent="0.25">
      <c r="A7" s="322" t="s">
        <v>268</v>
      </c>
      <c r="B7" s="185" t="s">
        <v>127</v>
      </c>
      <c r="C7" s="185" t="s">
        <v>127</v>
      </c>
    </row>
    <row r="8" spans="1:3" s="183" customFormat="1" ht="39" customHeight="1" x14ac:dyDescent="0.25">
      <c r="A8" s="323"/>
      <c r="B8" s="276" t="s">
        <v>128</v>
      </c>
      <c r="C8" s="276" t="s">
        <v>128</v>
      </c>
    </row>
    <row r="9" spans="1:3" s="190" customFormat="1" ht="23.25" customHeight="1" x14ac:dyDescent="0.25">
      <c r="A9" s="277" t="s">
        <v>230</v>
      </c>
      <c r="B9" s="278">
        <f>SUM(B10)</f>
        <v>400000</v>
      </c>
      <c r="C9" s="278">
        <f>SUM(C10)</f>
        <v>349500</v>
      </c>
    </row>
    <row r="10" spans="1:3" s="190" customFormat="1" ht="23.25" customHeight="1" x14ac:dyDescent="0.25">
      <c r="A10" s="272" t="s">
        <v>296</v>
      </c>
      <c r="B10" s="273">
        <v>400000</v>
      </c>
      <c r="C10" s="273">
        <v>349500</v>
      </c>
    </row>
    <row r="11" spans="1:3" s="190" customFormat="1" ht="23.25" customHeight="1" x14ac:dyDescent="0.25">
      <c r="A11" s="277" t="s">
        <v>323</v>
      </c>
      <c r="B11" s="278">
        <f>B12+B13</f>
        <v>299999.90000000002</v>
      </c>
      <c r="C11" s="278">
        <f>SUM(C12:C14)</f>
        <v>1444899.9</v>
      </c>
    </row>
    <row r="12" spans="1:3" s="190" customFormat="1" ht="23.25" customHeight="1" x14ac:dyDescent="0.25">
      <c r="A12" s="272" t="s">
        <v>332</v>
      </c>
      <c r="B12" s="273">
        <f>'5.kiadás'!H78</f>
        <v>299999.90000000002</v>
      </c>
      <c r="C12" s="273">
        <f>'5.kiadás'!I78</f>
        <v>299999.90000000002</v>
      </c>
    </row>
    <row r="13" spans="1:3" s="190" customFormat="1" ht="23.25" customHeight="1" x14ac:dyDescent="0.25">
      <c r="A13" s="272" t="s">
        <v>347</v>
      </c>
      <c r="B13" s="273">
        <v>0</v>
      </c>
      <c r="C13" s="273">
        <v>1000000</v>
      </c>
    </row>
    <row r="14" spans="1:3" s="190" customFormat="1" ht="23.25" customHeight="1" thickBot="1" x14ac:dyDescent="0.3">
      <c r="A14" s="274" t="s">
        <v>351</v>
      </c>
      <c r="B14" s="275">
        <v>0</v>
      </c>
      <c r="C14" s="275">
        <v>144900</v>
      </c>
    </row>
    <row r="15" spans="1:3" s="192" customFormat="1" ht="26.25" customHeight="1" x14ac:dyDescent="0.25">
      <c r="A15" s="279" t="s">
        <v>297</v>
      </c>
      <c r="B15" s="280">
        <f>SUM(B9,B11)</f>
        <v>699999.9</v>
      </c>
      <c r="C15" s="280">
        <f>C11+C9</f>
        <v>1794399.9</v>
      </c>
    </row>
    <row r="16" spans="1:3" x14ac:dyDescent="0.2">
      <c r="C16" s="281"/>
    </row>
    <row r="17" spans="2:3" x14ac:dyDescent="0.2">
      <c r="C17" s="281"/>
    </row>
    <row r="18" spans="2:3" x14ac:dyDescent="0.2">
      <c r="B18" s="282"/>
      <c r="C18" s="283"/>
    </row>
    <row r="19" spans="2:3" x14ac:dyDescent="0.2">
      <c r="C19" s="284"/>
    </row>
  </sheetData>
  <sheetProtection selectLockedCells="1" selectUnlockedCells="1"/>
  <mergeCells count="5">
    <mergeCell ref="A7:A8"/>
    <mergeCell ref="A1:C1"/>
    <mergeCell ref="A2:C2"/>
    <mergeCell ref="A4:C4"/>
    <mergeCell ref="A5:C5"/>
  </mergeCells>
  <printOptions headings="1" gridLines="1"/>
  <pageMargins left="0.75" right="0.75" top="1" bottom="1" header="0.51180555555555551" footer="0.51180555555555551"/>
  <pageSetup paperSize="9" scale="7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view="pageBreakPreview" zoomScale="120" zoomScaleNormal="110" zoomScaleSheetLayoutView="120" workbookViewId="0">
      <selection sqref="A1:G1"/>
    </sheetView>
  </sheetViews>
  <sheetFormatPr defaultColWidth="9.140625" defaultRowHeight="15.75" x14ac:dyDescent="0.25"/>
  <cols>
    <col min="1" max="1" width="4" style="4" customWidth="1"/>
    <col min="2" max="2" width="5.140625" style="4" customWidth="1"/>
    <col min="3" max="3" width="6.42578125" style="4" customWidth="1"/>
    <col min="4" max="4" width="2.5703125" style="4" customWidth="1"/>
    <col min="5" max="5" width="62.140625" style="4" customWidth="1"/>
    <col min="6" max="7" width="17.85546875" style="4" customWidth="1"/>
    <col min="8" max="8" width="16.7109375" style="193" customWidth="1"/>
    <col min="9" max="9" width="11.5703125" style="4" customWidth="1"/>
    <col min="10" max="10" width="12" style="4" customWidth="1"/>
    <col min="11" max="11" width="9.140625" style="29" customWidth="1"/>
    <col min="12" max="16384" width="9.140625" style="4"/>
  </cols>
  <sheetData>
    <row r="1" spans="1:12" x14ac:dyDescent="0.25">
      <c r="A1" s="293" t="s">
        <v>374</v>
      </c>
      <c r="B1" s="293"/>
      <c r="C1" s="293"/>
      <c r="D1" s="293"/>
      <c r="E1" s="293"/>
      <c r="F1" s="293"/>
      <c r="G1" s="294"/>
    </row>
    <row r="2" spans="1:12" s="28" customFormat="1" ht="16.5" customHeight="1" x14ac:dyDescent="0.25">
      <c r="A2" s="293" t="s">
        <v>362</v>
      </c>
      <c r="B2" s="293"/>
      <c r="C2" s="293"/>
      <c r="D2" s="293"/>
      <c r="E2" s="293"/>
      <c r="F2" s="293"/>
      <c r="G2" s="294"/>
      <c r="H2" s="194"/>
    </row>
    <row r="3" spans="1:12" s="28" customFormat="1" ht="16.5" customHeight="1" x14ac:dyDescent="0.25">
      <c r="A3" s="101"/>
      <c r="B3" s="101"/>
      <c r="C3" s="101"/>
      <c r="D3" s="101"/>
      <c r="E3" s="101"/>
      <c r="F3" s="195"/>
      <c r="G3" s="195"/>
      <c r="H3" s="194"/>
    </row>
    <row r="4" spans="1:12" ht="24.75" customHeight="1" x14ac:dyDescent="0.25">
      <c r="A4" s="291" t="s">
        <v>298</v>
      </c>
      <c r="B4" s="291"/>
      <c r="C4" s="291"/>
      <c r="D4" s="291"/>
      <c r="E4" s="291"/>
      <c r="F4" s="291"/>
      <c r="G4" s="292"/>
      <c r="I4" s="29"/>
      <c r="K4" s="4"/>
    </row>
    <row r="5" spans="1:12" ht="24.75" customHeight="1" x14ac:dyDescent="0.25">
      <c r="A5" s="291" t="s">
        <v>299</v>
      </c>
      <c r="B5" s="291"/>
      <c r="C5" s="291"/>
      <c r="D5" s="291"/>
      <c r="E5" s="291"/>
      <c r="F5" s="291"/>
      <c r="G5" s="292"/>
      <c r="I5" s="29"/>
      <c r="K5" s="4"/>
    </row>
    <row r="6" spans="1:12" s="7" customFormat="1" ht="24" customHeight="1" x14ac:dyDescent="0.25">
      <c r="A6" s="6"/>
      <c r="B6" s="6"/>
      <c r="C6" s="6"/>
      <c r="D6" s="6"/>
      <c r="E6" s="6"/>
      <c r="F6" s="103"/>
      <c r="G6" s="103"/>
      <c r="H6" s="196"/>
      <c r="I6" s="67"/>
    </row>
    <row r="7" spans="1:12" ht="27.75" customHeight="1" x14ac:dyDescent="0.25">
      <c r="A7" s="307" t="s">
        <v>40</v>
      </c>
      <c r="B7" s="307"/>
      <c r="C7" s="307"/>
      <c r="D7" s="307"/>
      <c r="E7" s="307"/>
      <c r="F7" s="31" t="s">
        <v>127</v>
      </c>
      <c r="G7" s="31" t="s">
        <v>127</v>
      </c>
      <c r="I7" s="29"/>
      <c r="K7" s="4"/>
    </row>
    <row r="8" spans="1:12" s="10" customFormat="1" ht="24" customHeight="1" x14ac:dyDescent="0.25">
      <c r="A8" s="307"/>
      <c r="B8" s="307"/>
      <c r="C8" s="307"/>
      <c r="D8" s="307"/>
      <c r="E8" s="307"/>
      <c r="F8" s="31" t="s">
        <v>4</v>
      </c>
      <c r="G8" s="31" t="s">
        <v>128</v>
      </c>
      <c r="H8" s="197"/>
    </row>
    <row r="9" spans="1:12" s="199" customFormat="1" ht="25.9" customHeight="1" x14ac:dyDescent="0.25">
      <c r="A9" s="327" t="s">
        <v>300</v>
      </c>
      <c r="B9" s="327"/>
      <c r="C9" s="327"/>
      <c r="D9" s="327"/>
      <c r="E9" s="327"/>
      <c r="F9" s="127">
        <f>SUM(F10,F14,F18)</f>
        <v>26209000</v>
      </c>
      <c r="G9" s="127">
        <f>SUM(G10,G14,G18)</f>
        <v>26209000</v>
      </c>
      <c r="H9" s="198"/>
    </row>
    <row r="10" spans="1:12" s="199" customFormat="1" ht="26.25" customHeight="1" x14ac:dyDescent="0.25">
      <c r="A10" s="14" t="s">
        <v>6</v>
      </c>
      <c r="B10" s="10" t="s">
        <v>7</v>
      </c>
      <c r="C10" s="10"/>
      <c r="D10" s="200"/>
      <c r="E10" s="111"/>
      <c r="F10" s="107">
        <f>SUM(F11)</f>
        <v>0</v>
      </c>
      <c r="G10" s="107">
        <f>SUM(G11)</f>
        <v>0</v>
      </c>
      <c r="H10" s="198"/>
    </row>
    <row r="11" spans="1:12" s="10" customFormat="1" x14ac:dyDescent="0.25">
      <c r="A11" s="14"/>
      <c r="B11" s="12" t="s">
        <v>106</v>
      </c>
      <c r="C11" s="4" t="s">
        <v>107</v>
      </c>
      <c r="E11" s="112"/>
      <c r="F11" s="111">
        <f>F12</f>
        <v>0</v>
      </c>
      <c r="G11" s="111">
        <f>G12</f>
        <v>0</v>
      </c>
      <c r="H11" s="201"/>
      <c r="I11" s="40"/>
      <c r="J11" s="40"/>
      <c r="K11" s="41"/>
    </row>
    <row r="12" spans="1:12" s="10" customFormat="1" x14ac:dyDescent="0.25">
      <c r="A12" s="14"/>
      <c r="B12" s="12"/>
      <c r="C12" s="4" t="s">
        <v>301</v>
      </c>
      <c r="D12" s="4" t="s">
        <v>302</v>
      </c>
      <c r="E12" s="112"/>
      <c r="F12" s="202">
        <v>0</v>
      </c>
      <c r="G12" s="202">
        <v>0</v>
      </c>
      <c r="H12" s="201"/>
      <c r="I12" s="40"/>
      <c r="J12" s="40"/>
      <c r="K12" s="41"/>
    </row>
    <row r="13" spans="1:12" s="10" customFormat="1" x14ac:dyDescent="0.25">
      <c r="A13" s="14"/>
      <c r="B13" s="12" t="s">
        <v>106</v>
      </c>
      <c r="C13" s="4" t="s">
        <v>303</v>
      </c>
      <c r="E13" s="112"/>
      <c r="F13" s="44">
        <v>0</v>
      </c>
      <c r="G13" s="44">
        <v>0</v>
      </c>
      <c r="H13" s="201"/>
      <c r="I13" s="40"/>
      <c r="J13" s="40"/>
      <c r="K13" s="41"/>
    </row>
    <row r="14" spans="1:12" x14ac:dyDescent="0.25">
      <c r="A14" s="10" t="s">
        <v>10</v>
      </c>
      <c r="B14" s="10" t="s">
        <v>11</v>
      </c>
      <c r="C14" s="10"/>
      <c r="D14" s="10"/>
      <c r="E14" s="112"/>
      <c r="F14" s="11">
        <f>SUM(F15:F17)</f>
        <v>26209000</v>
      </c>
      <c r="G14" s="11">
        <f>SUM(G15:G17)</f>
        <v>26209000</v>
      </c>
      <c r="I14" s="38"/>
      <c r="J14" s="38"/>
      <c r="K14" s="38"/>
      <c r="L14" s="29"/>
    </row>
    <row r="15" spans="1:12" s="10" customFormat="1" x14ac:dyDescent="0.25">
      <c r="A15" s="4"/>
      <c r="B15" s="4"/>
      <c r="C15" s="4" t="s">
        <v>304</v>
      </c>
      <c r="D15" s="4" t="s">
        <v>305</v>
      </c>
      <c r="E15" s="115"/>
      <c r="F15" s="110">
        <v>26208000</v>
      </c>
      <c r="G15" s="110">
        <v>26208000</v>
      </c>
      <c r="H15" s="201"/>
      <c r="I15" s="40"/>
      <c r="J15" s="40"/>
      <c r="K15" s="41"/>
    </row>
    <row r="16" spans="1:12" x14ac:dyDescent="0.25">
      <c r="C16" s="4" t="s">
        <v>46</v>
      </c>
      <c r="D16" s="4" t="s">
        <v>47</v>
      </c>
      <c r="E16" s="115"/>
      <c r="F16" s="110">
        <v>1000</v>
      </c>
      <c r="G16" s="110">
        <v>1000</v>
      </c>
      <c r="H16" s="203"/>
      <c r="I16" s="38"/>
      <c r="J16" s="38"/>
    </row>
    <row r="17" spans="1:11" ht="17.45" customHeight="1" x14ac:dyDescent="0.25">
      <c r="C17" s="4" t="s">
        <v>120</v>
      </c>
      <c r="D17" s="4" t="s">
        <v>306</v>
      </c>
      <c r="E17" s="115"/>
      <c r="F17" s="110">
        <v>0</v>
      </c>
      <c r="G17" s="110">
        <v>0</v>
      </c>
      <c r="H17" s="204"/>
      <c r="I17" s="38"/>
      <c r="J17" s="38"/>
    </row>
    <row r="18" spans="1:11" x14ac:dyDescent="0.25">
      <c r="A18" s="10" t="s">
        <v>17</v>
      </c>
      <c r="B18" s="10" t="s">
        <v>18</v>
      </c>
      <c r="C18" s="10"/>
      <c r="D18" s="10"/>
      <c r="E18" s="112"/>
      <c r="F18" s="11">
        <f>SUM(F19)</f>
        <v>0</v>
      </c>
      <c r="G18" s="11">
        <f>SUM(G19)</f>
        <v>0</v>
      </c>
      <c r="H18" s="204"/>
      <c r="I18" s="38"/>
      <c r="J18" s="38"/>
    </row>
    <row r="19" spans="1:11" x14ac:dyDescent="0.25">
      <c r="B19" s="4" t="s">
        <v>53</v>
      </c>
      <c r="D19" s="4" t="s">
        <v>54</v>
      </c>
      <c r="E19" s="115"/>
      <c r="F19" s="13">
        <f>SUM(F22+F20)</f>
        <v>0</v>
      </c>
      <c r="G19" s="13">
        <f>SUM(G22+G20)</f>
        <v>0</v>
      </c>
      <c r="H19" s="203"/>
      <c r="I19" s="38"/>
      <c r="J19" s="38"/>
    </row>
    <row r="20" spans="1:11" x14ac:dyDescent="0.25">
      <c r="C20" s="4" t="s">
        <v>55</v>
      </c>
      <c r="D20" s="4" t="s">
        <v>56</v>
      </c>
      <c r="E20" s="115"/>
      <c r="F20" s="110">
        <v>0</v>
      </c>
      <c r="G20" s="110">
        <v>0</v>
      </c>
      <c r="H20" s="203"/>
      <c r="I20" s="38"/>
      <c r="J20" s="38"/>
    </row>
    <row r="21" spans="1:11" s="199" customFormat="1" ht="26.25" customHeight="1" x14ac:dyDescent="0.25">
      <c r="A21" s="4"/>
      <c r="B21" s="4"/>
      <c r="C21" s="4" t="s">
        <v>57</v>
      </c>
      <c r="D21" s="4"/>
      <c r="E21" s="115" t="s">
        <v>58</v>
      </c>
      <c r="F21" s="110">
        <v>0</v>
      </c>
      <c r="G21" s="110">
        <v>0</v>
      </c>
      <c r="H21" s="198"/>
    </row>
    <row r="22" spans="1:11" s="10" customFormat="1" x14ac:dyDescent="0.25">
      <c r="A22" s="4"/>
      <c r="B22" s="4"/>
      <c r="C22" s="4" t="s">
        <v>307</v>
      </c>
      <c r="D22" s="4" t="s">
        <v>308</v>
      </c>
      <c r="E22" s="115"/>
      <c r="F22" s="205">
        <v>0</v>
      </c>
      <c r="G22" s="205">
        <v>0</v>
      </c>
      <c r="H22" s="206"/>
    </row>
    <row r="23" spans="1:11" ht="27" customHeight="1" x14ac:dyDescent="0.25">
      <c r="A23" s="326" t="s">
        <v>309</v>
      </c>
      <c r="B23" s="326"/>
      <c r="C23" s="326"/>
      <c r="D23" s="326"/>
      <c r="E23" s="326"/>
      <c r="F23" s="121">
        <f>F24</f>
        <v>1064600</v>
      </c>
      <c r="G23" s="121">
        <f>G24</f>
        <v>1064600</v>
      </c>
      <c r="H23" s="207"/>
      <c r="K23" s="4"/>
    </row>
    <row r="24" spans="1:11" s="10" customFormat="1" ht="21.6" customHeight="1" x14ac:dyDescent="0.25">
      <c r="A24" s="14" t="s">
        <v>6</v>
      </c>
      <c r="B24" s="10" t="s">
        <v>7</v>
      </c>
      <c r="D24" s="200"/>
      <c r="E24" s="111"/>
      <c r="F24" s="107">
        <f>SUM(F25)</f>
        <v>1064600</v>
      </c>
      <c r="G24" s="107">
        <f>SUM(G25)</f>
        <v>1064600</v>
      </c>
      <c r="H24" s="197"/>
      <c r="K24" s="41"/>
    </row>
    <row r="25" spans="1:11" x14ac:dyDescent="0.25">
      <c r="A25" s="14"/>
      <c r="B25" s="12" t="s">
        <v>106</v>
      </c>
      <c r="C25" s="4" t="s">
        <v>107</v>
      </c>
      <c r="D25" s="10"/>
      <c r="E25" s="112"/>
      <c r="F25" s="110">
        <f>'12.Idősek Otthona kiadás'!G44</f>
        <v>1064600</v>
      </c>
      <c r="G25" s="110">
        <v>1064600</v>
      </c>
    </row>
    <row r="26" spans="1:11" ht="30" customHeight="1" x14ac:dyDescent="0.25">
      <c r="A26" s="295" t="s">
        <v>52</v>
      </c>
      <c r="B26" s="295"/>
      <c r="C26" s="295"/>
      <c r="D26" s="295"/>
      <c r="E26" s="295"/>
      <c r="F26" s="37">
        <f>SUM(F27)</f>
        <v>33710816</v>
      </c>
      <c r="G26" s="37">
        <f>SUM(G27)</f>
        <v>37341866</v>
      </c>
    </row>
    <row r="27" spans="1:11" x14ac:dyDescent="0.25">
      <c r="A27" s="10" t="s">
        <v>17</v>
      </c>
      <c r="B27" s="10" t="s">
        <v>18</v>
      </c>
      <c r="C27" s="10"/>
      <c r="D27" s="10"/>
      <c r="E27" s="112"/>
      <c r="F27" s="11">
        <f>SUM(F28)</f>
        <v>33710816</v>
      </c>
      <c r="G27" s="11">
        <f>SUM(G28)</f>
        <v>37341866</v>
      </c>
    </row>
    <row r="28" spans="1:11" ht="25.9" customHeight="1" x14ac:dyDescent="0.25">
      <c r="B28" s="4" t="s">
        <v>53</v>
      </c>
      <c r="D28" s="4" t="s">
        <v>54</v>
      </c>
      <c r="E28" s="115"/>
      <c r="F28" s="13">
        <f>SUM(F31+F29)</f>
        <v>33710816</v>
      </c>
      <c r="G28" s="13">
        <f>SUM(G31+G29)</f>
        <v>37341866</v>
      </c>
    </row>
    <row r="29" spans="1:11" s="51" customFormat="1" x14ac:dyDescent="0.25">
      <c r="A29" s="4"/>
      <c r="B29" s="4"/>
      <c r="C29" s="4" t="s">
        <v>55</v>
      </c>
      <c r="D29" s="4" t="s">
        <v>56</v>
      </c>
      <c r="E29" s="115"/>
      <c r="F29" s="110">
        <f>F30</f>
        <v>1665649</v>
      </c>
      <c r="G29" s="110">
        <f>G30</f>
        <v>1665649</v>
      </c>
      <c r="J29" s="52"/>
    </row>
    <row r="30" spans="1:11" s="51" customFormat="1" x14ac:dyDescent="0.25">
      <c r="A30" s="4"/>
      <c r="B30" s="4"/>
      <c r="C30" s="4" t="s">
        <v>57</v>
      </c>
      <c r="D30" s="4"/>
      <c r="E30" s="115" t="s">
        <v>58</v>
      </c>
      <c r="F30" s="110">
        <v>1665649</v>
      </c>
      <c r="G30" s="110">
        <v>1665649</v>
      </c>
      <c r="J30" s="52"/>
    </row>
    <row r="31" spans="1:11" s="51" customFormat="1" x14ac:dyDescent="0.25">
      <c r="A31" s="4"/>
      <c r="B31" s="4"/>
      <c r="C31" s="4" t="s">
        <v>307</v>
      </c>
      <c r="D31" s="4" t="s">
        <v>308</v>
      </c>
      <c r="E31" s="115"/>
      <c r="F31" s="205">
        <v>32045167</v>
      </c>
      <c r="G31" s="205">
        <f>'5.kiadás'!I51</f>
        <v>35676217</v>
      </c>
      <c r="H31" s="208"/>
      <c r="J31" s="52"/>
    </row>
    <row r="32" spans="1:11" x14ac:dyDescent="0.25">
      <c r="A32" s="62" t="s">
        <v>124</v>
      </c>
      <c r="B32" s="63"/>
      <c r="C32" s="63"/>
      <c r="D32" s="63"/>
      <c r="E32" s="209"/>
      <c r="F32" s="80">
        <f>SUM(F9+F23+F26)</f>
        <v>60984416</v>
      </c>
      <c r="G32" s="80">
        <f>SUM(G9+G23+G26)</f>
        <v>64615466</v>
      </c>
    </row>
    <row r="33" spans="1:7" x14ac:dyDescent="0.25">
      <c r="A33" s="53" t="s">
        <v>6</v>
      </c>
      <c r="B33" s="54" t="s">
        <v>7</v>
      </c>
      <c r="C33" s="53"/>
      <c r="D33" s="55"/>
      <c r="E33" s="56"/>
      <c r="F33" s="57">
        <f>F10+F24</f>
        <v>1064600</v>
      </c>
      <c r="G33" s="57">
        <f>G10+G24</f>
        <v>1064600</v>
      </c>
    </row>
    <row r="34" spans="1:7" x14ac:dyDescent="0.25">
      <c r="A34" s="54" t="s">
        <v>10</v>
      </c>
      <c r="B34" s="58" t="s">
        <v>11</v>
      </c>
      <c r="C34" s="58"/>
      <c r="D34" s="58"/>
      <c r="E34" s="58"/>
      <c r="F34" s="57">
        <f>F14</f>
        <v>26209000</v>
      </c>
      <c r="G34" s="57">
        <f>G14</f>
        <v>26209000</v>
      </c>
    </row>
    <row r="35" spans="1:7" x14ac:dyDescent="0.25">
      <c r="A35" s="54" t="s">
        <v>17</v>
      </c>
      <c r="B35" s="54" t="s">
        <v>18</v>
      </c>
      <c r="C35" s="54"/>
      <c r="D35" s="54"/>
      <c r="E35" s="53"/>
      <c r="F35" s="61">
        <f>F27</f>
        <v>33710816</v>
      </c>
      <c r="G35" s="61">
        <f>G27</f>
        <v>37341866</v>
      </c>
    </row>
    <row r="36" spans="1:7" x14ac:dyDescent="0.25">
      <c r="A36" s="62" t="s">
        <v>124</v>
      </c>
      <c r="B36" s="63"/>
      <c r="C36" s="63"/>
      <c r="D36" s="63"/>
      <c r="E36" s="63"/>
      <c r="F36" s="64">
        <f>SUM(F33:F35)</f>
        <v>60984416</v>
      </c>
      <c r="G36" s="64">
        <f>SUM(G33:G35)</f>
        <v>64615466</v>
      </c>
    </row>
    <row r="37" spans="1:7" x14ac:dyDescent="0.25">
      <c r="G37" s="271"/>
    </row>
    <row r="38" spans="1:7" x14ac:dyDescent="0.25">
      <c r="E38" s="5"/>
    </row>
    <row r="39" spans="1:7" x14ac:dyDescent="0.25">
      <c r="E39" s="5"/>
    </row>
  </sheetData>
  <sheetProtection selectLockedCells="1" selectUnlockedCells="1"/>
  <mergeCells count="8">
    <mergeCell ref="A23:E23"/>
    <mergeCell ref="A26:E26"/>
    <mergeCell ref="A7:E8"/>
    <mergeCell ref="A9:E9"/>
    <mergeCell ref="A1:G1"/>
    <mergeCell ref="A2:G2"/>
    <mergeCell ref="A4:G4"/>
    <mergeCell ref="A5:G5"/>
  </mergeCells>
  <printOptions headings="1" gridLines="1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7"/>
  <sheetViews>
    <sheetView view="pageBreakPreview" zoomScale="104" zoomScaleNormal="120" zoomScaleSheetLayoutView="104" workbookViewId="0">
      <selection sqref="A1:H1"/>
    </sheetView>
  </sheetViews>
  <sheetFormatPr defaultColWidth="9.140625" defaultRowHeight="12.75" x14ac:dyDescent="0.2"/>
  <cols>
    <col min="1" max="1" width="4.28515625" style="210" customWidth="1"/>
    <col min="2" max="2" width="5.42578125" style="210" customWidth="1"/>
    <col min="3" max="3" width="8.140625" style="210" customWidth="1"/>
    <col min="4" max="4" width="3.28515625" style="210" customWidth="1"/>
    <col min="5" max="5" width="52.42578125" style="210" customWidth="1"/>
    <col min="6" max="6" width="9.5703125" style="210" customWidth="1"/>
    <col min="7" max="8" width="20.140625" style="28" customWidth="1"/>
    <col min="9" max="9" width="16.5703125" style="211" customWidth="1"/>
    <col min="10" max="10" width="11.85546875" style="262" customWidth="1"/>
    <col min="11" max="16384" width="9.140625" style="210"/>
  </cols>
  <sheetData>
    <row r="1" spans="1:10" ht="15.75" x14ac:dyDescent="0.25">
      <c r="A1" s="293" t="s">
        <v>375</v>
      </c>
      <c r="B1" s="293"/>
      <c r="C1" s="293"/>
      <c r="D1" s="293"/>
      <c r="E1" s="293"/>
      <c r="F1" s="293"/>
      <c r="G1" s="293"/>
      <c r="H1" s="294"/>
    </row>
    <row r="2" spans="1:10" s="28" customFormat="1" ht="16.5" customHeight="1" x14ac:dyDescent="0.25">
      <c r="A2" s="293" t="s">
        <v>363</v>
      </c>
      <c r="B2" s="293"/>
      <c r="C2" s="293"/>
      <c r="D2" s="293"/>
      <c r="E2" s="293"/>
      <c r="F2" s="293"/>
      <c r="G2" s="293"/>
      <c r="H2" s="294"/>
      <c r="I2" s="211"/>
      <c r="J2" s="262"/>
    </row>
    <row r="3" spans="1:10" s="28" customFormat="1" ht="16.5" customHeight="1" x14ac:dyDescent="0.25">
      <c r="A3" s="254"/>
      <c r="B3" s="254"/>
      <c r="C3" s="254"/>
      <c r="D3" s="254"/>
      <c r="E3" s="254"/>
      <c r="F3" s="254"/>
      <c r="G3" s="254"/>
      <c r="H3" s="102"/>
      <c r="I3" s="211"/>
      <c r="J3" s="262"/>
    </row>
    <row r="4" spans="1:10" s="211" customFormat="1" ht="26.25" customHeight="1" x14ac:dyDescent="0.2">
      <c r="A4" s="331" t="s">
        <v>298</v>
      </c>
      <c r="B4" s="331"/>
      <c r="C4" s="331"/>
      <c r="D4" s="331"/>
      <c r="E4" s="331"/>
      <c r="F4" s="331"/>
      <c r="G4" s="331"/>
      <c r="H4" s="292"/>
    </row>
    <row r="5" spans="1:10" s="199" customFormat="1" ht="19.899999999999999" customHeight="1" x14ac:dyDescent="0.25">
      <c r="A5" s="332" t="s">
        <v>310</v>
      </c>
      <c r="B5" s="332"/>
      <c r="C5" s="332"/>
      <c r="D5" s="332"/>
      <c r="E5" s="332"/>
      <c r="F5" s="332"/>
      <c r="G5" s="332"/>
      <c r="H5" s="321"/>
      <c r="I5" s="263"/>
      <c r="J5" s="263"/>
    </row>
    <row r="6" spans="1:10" s="199" customFormat="1" ht="25.9" customHeight="1" x14ac:dyDescent="0.25">
      <c r="A6" s="329" t="s">
        <v>40</v>
      </c>
      <c r="B6" s="329"/>
      <c r="C6" s="329"/>
      <c r="D6" s="329"/>
      <c r="E6" s="329"/>
      <c r="F6" s="330" t="s">
        <v>311</v>
      </c>
      <c r="G6" s="212" t="s">
        <v>127</v>
      </c>
      <c r="H6" s="212" t="s">
        <v>127</v>
      </c>
      <c r="I6" s="263"/>
      <c r="J6" s="263"/>
    </row>
    <row r="7" spans="1:10" s="199" customFormat="1" ht="22.9" customHeight="1" x14ac:dyDescent="0.25">
      <c r="A7" s="329"/>
      <c r="B7" s="329"/>
      <c r="C7" s="329"/>
      <c r="D7" s="329"/>
      <c r="E7" s="329"/>
      <c r="F7" s="330"/>
      <c r="G7" s="212" t="s">
        <v>4</v>
      </c>
      <c r="H7" s="212" t="s">
        <v>128</v>
      </c>
      <c r="I7" s="263"/>
      <c r="J7" s="263"/>
    </row>
    <row r="8" spans="1:10" s="199" customFormat="1" ht="26.25" customHeight="1" x14ac:dyDescent="0.25">
      <c r="A8" s="328" t="s">
        <v>300</v>
      </c>
      <c r="B8" s="328"/>
      <c r="C8" s="328"/>
      <c r="D8" s="328"/>
      <c r="E8" s="328"/>
      <c r="F8" s="213">
        <v>8</v>
      </c>
      <c r="G8" s="214">
        <f>SUM(G9+G18+G21+G41)</f>
        <v>59919816.225000001</v>
      </c>
      <c r="H8" s="214">
        <f>SUM(H9+H18+H21+H41)</f>
        <v>63399703.25</v>
      </c>
      <c r="I8" s="261"/>
      <c r="J8" s="263"/>
    </row>
    <row r="9" spans="1:10" s="10" customFormat="1" ht="15.75" x14ac:dyDescent="0.25">
      <c r="A9" s="10" t="s">
        <v>21</v>
      </c>
      <c r="B9" s="14" t="s">
        <v>147</v>
      </c>
      <c r="C9" s="14"/>
      <c r="D9" s="14"/>
      <c r="E9" s="106"/>
      <c r="F9" s="106"/>
      <c r="G9" s="135">
        <f>SUM(G10)</f>
        <v>32475487</v>
      </c>
      <c r="H9" s="135">
        <f>SUM(H10)</f>
        <v>35577830</v>
      </c>
      <c r="I9" s="259"/>
      <c r="J9" s="264"/>
    </row>
    <row r="10" spans="1:10" s="4" customFormat="1" ht="15.75" x14ac:dyDescent="0.25">
      <c r="B10" s="12" t="s">
        <v>148</v>
      </c>
      <c r="C10" s="12"/>
      <c r="D10" s="12" t="s">
        <v>149</v>
      </c>
      <c r="E10" s="108"/>
      <c r="F10" s="108"/>
      <c r="G10" s="130">
        <f>SUM(G11:G17)</f>
        <v>32475487</v>
      </c>
      <c r="H10" s="130">
        <f>SUM(H11:H17)</f>
        <v>35577830</v>
      </c>
      <c r="I10" s="259"/>
      <c r="J10" s="265"/>
    </row>
    <row r="11" spans="1:10" s="4" customFormat="1" ht="15.75" x14ac:dyDescent="0.25">
      <c r="B11" s="12"/>
      <c r="C11" s="12" t="s">
        <v>150</v>
      </c>
      <c r="D11" s="12" t="s">
        <v>151</v>
      </c>
      <c r="E11" s="108"/>
      <c r="F11" s="108"/>
      <c r="G11" s="137">
        <v>25053600</v>
      </c>
      <c r="H11" s="137">
        <v>28593203</v>
      </c>
      <c r="I11" s="259"/>
      <c r="J11" s="265"/>
    </row>
    <row r="12" spans="1:10" s="4" customFormat="1" ht="15.75" x14ac:dyDescent="0.25">
      <c r="B12" s="12"/>
      <c r="C12" s="12" t="s">
        <v>152</v>
      </c>
      <c r="D12" s="12" t="s">
        <v>153</v>
      </c>
      <c r="E12" s="108"/>
      <c r="F12" s="108"/>
      <c r="G12" s="215">
        <v>560000</v>
      </c>
      <c r="H12" s="137">
        <v>640000</v>
      </c>
      <c r="I12" s="261"/>
      <c r="J12" s="265"/>
    </row>
    <row r="13" spans="1:10" s="4" customFormat="1" ht="15.75" x14ac:dyDescent="0.25">
      <c r="B13" s="12"/>
      <c r="C13" s="12" t="s">
        <v>238</v>
      </c>
      <c r="D13" s="12" t="s">
        <v>312</v>
      </c>
      <c r="E13" s="108"/>
      <c r="F13" s="108"/>
      <c r="G13" s="216">
        <v>0</v>
      </c>
      <c r="H13" s="216">
        <v>1053000</v>
      </c>
      <c r="I13" s="260"/>
      <c r="J13" s="265"/>
    </row>
    <row r="14" spans="1:10" s="4" customFormat="1" ht="15.75" x14ac:dyDescent="0.25">
      <c r="B14" s="12"/>
      <c r="C14" s="12" t="s">
        <v>313</v>
      </c>
      <c r="D14" s="12" t="s">
        <v>314</v>
      </c>
      <c r="E14" s="108"/>
      <c r="F14" s="108"/>
      <c r="G14" s="217">
        <f>1545000+320000+363000</f>
        <v>2228000</v>
      </c>
      <c r="H14" s="217">
        <f>1545000+320000+363000</f>
        <v>2228000</v>
      </c>
      <c r="I14" s="260"/>
      <c r="J14" s="265"/>
    </row>
    <row r="15" spans="1:10" s="4" customFormat="1" ht="15.75" x14ac:dyDescent="0.25">
      <c r="B15" s="12"/>
      <c r="C15" s="12" t="s">
        <v>315</v>
      </c>
      <c r="D15" s="12" t="s">
        <v>316</v>
      </c>
      <c r="E15" s="108"/>
      <c r="F15" s="108"/>
      <c r="G15" s="217">
        <v>0</v>
      </c>
      <c r="H15" s="217">
        <v>0</v>
      </c>
      <c r="I15" s="260"/>
      <c r="J15" s="265"/>
    </row>
    <row r="16" spans="1:10" s="4" customFormat="1" ht="15.75" x14ac:dyDescent="0.25">
      <c r="B16" s="12"/>
      <c r="C16" s="12" t="s">
        <v>154</v>
      </c>
      <c r="D16" s="12" t="s">
        <v>155</v>
      </c>
      <c r="E16" s="108"/>
      <c r="F16" s="108"/>
      <c r="G16" s="132">
        <v>460000</v>
      </c>
      <c r="H16" s="132">
        <v>460000</v>
      </c>
      <c r="I16" s="260"/>
      <c r="J16" s="265"/>
    </row>
    <row r="17" spans="1:10" s="4" customFormat="1" ht="15.75" x14ac:dyDescent="0.25">
      <c r="B17" s="12"/>
      <c r="C17" s="12" t="s">
        <v>156</v>
      </c>
      <c r="D17" s="12" t="s">
        <v>157</v>
      </c>
      <c r="E17" s="108"/>
      <c r="F17" s="108"/>
      <c r="G17" s="137">
        <v>4173887</v>
      </c>
      <c r="H17" s="137">
        <v>2603627</v>
      </c>
      <c r="I17" s="268"/>
      <c r="J17" s="265"/>
    </row>
    <row r="18" spans="1:10" s="10" customFormat="1" ht="15.75" customHeight="1" x14ac:dyDescent="0.25">
      <c r="A18" s="10" t="s">
        <v>23</v>
      </c>
      <c r="B18" s="10" t="s">
        <v>163</v>
      </c>
      <c r="E18" s="112"/>
      <c r="F18" s="113"/>
      <c r="G18" s="216">
        <f>SUM(G19:G20)</f>
        <v>5683210.2249999996</v>
      </c>
      <c r="H18" s="216">
        <f>SUM(H19:H20)</f>
        <v>6226120.25</v>
      </c>
      <c r="I18" s="269"/>
      <c r="J18" s="266"/>
    </row>
    <row r="19" spans="1:10" s="4" customFormat="1" ht="15.75" x14ac:dyDescent="0.25">
      <c r="B19" s="12"/>
      <c r="C19" s="12"/>
      <c r="D19" s="12" t="s">
        <v>164</v>
      </c>
      <c r="E19" s="108"/>
      <c r="F19" s="108"/>
      <c r="G19" s="137">
        <f>G9*0.175</f>
        <v>5683210.2249999996</v>
      </c>
      <c r="H19" s="137">
        <f>H9*0.175</f>
        <v>6226120.25</v>
      </c>
      <c r="I19" s="268"/>
      <c r="J19" s="265"/>
    </row>
    <row r="20" spans="1:10" s="4" customFormat="1" ht="15.75" x14ac:dyDescent="0.25">
      <c r="B20" s="12"/>
      <c r="C20" s="12"/>
      <c r="D20" s="12" t="s">
        <v>317</v>
      </c>
      <c r="E20" s="108"/>
      <c r="F20" s="108"/>
      <c r="G20" s="137">
        <v>0</v>
      </c>
      <c r="H20" s="137">
        <v>0</v>
      </c>
      <c r="I20" s="259"/>
      <c r="J20" s="265"/>
    </row>
    <row r="21" spans="1:10" s="10" customFormat="1" ht="15.75" x14ac:dyDescent="0.25">
      <c r="A21" s="10" t="s">
        <v>25</v>
      </c>
      <c r="B21" s="10" t="s">
        <v>26</v>
      </c>
      <c r="E21" s="112"/>
      <c r="F21" s="106"/>
      <c r="G21" s="218">
        <f>SUM(G22+G25+G28+G37+G34)</f>
        <v>21761119</v>
      </c>
      <c r="H21" s="218">
        <f>SUM(H22+H25+H28+H37+H34)</f>
        <v>21595753</v>
      </c>
      <c r="I21" s="259"/>
      <c r="J21" s="266"/>
    </row>
    <row r="22" spans="1:10" s="4" customFormat="1" ht="15.75" x14ac:dyDescent="0.25">
      <c r="B22" s="4" t="s">
        <v>165</v>
      </c>
      <c r="C22" s="12"/>
      <c r="D22" s="12" t="s">
        <v>166</v>
      </c>
      <c r="E22" s="115"/>
      <c r="F22" s="115"/>
      <c r="G22" s="130">
        <f>SUM(G23+G24)</f>
        <v>5107119</v>
      </c>
      <c r="H22" s="130">
        <f>SUM(H23+H24)</f>
        <v>5541753</v>
      </c>
      <c r="I22" s="259"/>
      <c r="J22" s="265"/>
    </row>
    <row r="23" spans="1:10" s="4" customFormat="1" ht="15.75" x14ac:dyDescent="0.25">
      <c r="C23" s="12" t="s">
        <v>167</v>
      </c>
      <c r="D23" s="12" t="s">
        <v>168</v>
      </c>
      <c r="E23" s="115"/>
      <c r="F23" s="115"/>
      <c r="G23" s="132">
        <v>1560000</v>
      </c>
      <c r="H23" s="132">
        <v>1994634</v>
      </c>
      <c r="I23" s="268"/>
      <c r="J23" s="265"/>
    </row>
    <row r="24" spans="1:10" s="4" customFormat="1" ht="15.75" x14ac:dyDescent="0.25">
      <c r="C24" s="12" t="s">
        <v>170</v>
      </c>
      <c r="D24" s="12" t="s">
        <v>171</v>
      </c>
      <c r="E24" s="108"/>
      <c r="F24" s="108"/>
      <c r="G24" s="132">
        <v>3547119</v>
      </c>
      <c r="H24" s="132">
        <v>3547119</v>
      </c>
      <c r="I24" s="265"/>
      <c r="J24" s="265"/>
    </row>
    <row r="25" spans="1:10" s="5" customFormat="1" ht="15.75" x14ac:dyDescent="0.25">
      <c r="B25" s="4" t="s">
        <v>172</v>
      </c>
      <c r="D25" s="12" t="s">
        <v>318</v>
      </c>
      <c r="E25" s="119"/>
      <c r="F25" s="119"/>
      <c r="G25" s="130">
        <f>G26+G27</f>
        <v>180000</v>
      </c>
      <c r="H25" s="130">
        <f>H26+H27</f>
        <v>180000</v>
      </c>
      <c r="I25" s="267"/>
      <c r="J25" s="267"/>
    </row>
    <row r="26" spans="1:10" s="5" customFormat="1" ht="15.75" x14ac:dyDescent="0.25">
      <c r="B26" s="4"/>
      <c r="C26" s="12" t="s">
        <v>174</v>
      </c>
      <c r="D26" s="12" t="s">
        <v>175</v>
      </c>
      <c r="E26" s="119"/>
      <c r="F26" s="119"/>
      <c r="G26" s="132">
        <v>90000</v>
      </c>
      <c r="H26" s="132">
        <v>90000</v>
      </c>
      <c r="I26" s="267"/>
      <c r="J26" s="267"/>
    </row>
    <row r="27" spans="1:10" s="4" customFormat="1" ht="15.75" x14ac:dyDescent="0.25">
      <c r="C27" s="12" t="s">
        <v>176</v>
      </c>
      <c r="D27" s="12" t="s">
        <v>177</v>
      </c>
      <c r="E27" s="108"/>
      <c r="F27" s="108"/>
      <c r="G27" s="132">
        <v>90000</v>
      </c>
      <c r="H27" s="132">
        <v>90000</v>
      </c>
      <c r="I27" s="265"/>
      <c r="J27" s="265"/>
    </row>
    <row r="28" spans="1:10" s="4" customFormat="1" ht="15.75" x14ac:dyDescent="0.25">
      <c r="B28" s="4" t="s">
        <v>178</v>
      </c>
      <c r="C28" s="12"/>
      <c r="D28" s="12" t="s">
        <v>179</v>
      </c>
      <c r="E28" s="108"/>
      <c r="F28" s="108"/>
      <c r="G28" s="219">
        <f>SUM(G29:G32)</f>
        <v>12900000</v>
      </c>
      <c r="H28" s="219">
        <f>SUM(H29:H32)</f>
        <v>12300000</v>
      </c>
      <c r="I28" s="265"/>
      <c r="J28" s="265"/>
    </row>
    <row r="29" spans="1:10" s="4" customFormat="1" ht="15.75" x14ac:dyDescent="0.25">
      <c r="C29" s="12" t="s">
        <v>180</v>
      </c>
      <c r="D29" s="12" t="s">
        <v>181</v>
      </c>
      <c r="E29" s="108"/>
      <c r="F29" s="108"/>
      <c r="G29" s="132">
        <v>2900000</v>
      </c>
      <c r="H29" s="132">
        <v>2900000</v>
      </c>
      <c r="I29" s="265"/>
      <c r="J29" s="265"/>
    </row>
    <row r="30" spans="1:10" s="4" customFormat="1" ht="15.75" x14ac:dyDescent="0.25">
      <c r="C30" s="12" t="s">
        <v>319</v>
      </c>
      <c r="D30" s="12" t="s">
        <v>320</v>
      </c>
      <c r="E30" s="108"/>
      <c r="F30" s="108"/>
      <c r="G30" s="137">
        <v>8000000</v>
      </c>
      <c r="H30" s="137">
        <v>8000000</v>
      </c>
      <c r="I30" s="265"/>
      <c r="J30" s="265"/>
    </row>
    <row r="31" spans="1:10" s="4" customFormat="1" ht="15.75" x14ac:dyDescent="0.25">
      <c r="C31" s="12" t="s">
        <v>182</v>
      </c>
      <c r="D31" s="12" t="s">
        <v>183</v>
      </c>
      <c r="E31" s="108"/>
      <c r="F31" s="108"/>
      <c r="G31" s="137">
        <v>800000</v>
      </c>
      <c r="H31" s="137">
        <v>200000</v>
      </c>
      <c r="I31" s="265"/>
      <c r="J31" s="265"/>
    </row>
    <row r="32" spans="1:10" s="4" customFormat="1" ht="15.75" x14ac:dyDescent="0.25">
      <c r="C32" s="12" t="s">
        <v>184</v>
      </c>
      <c r="D32" s="12" t="s">
        <v>185</v>
      </c>
      <c r="E32" s="108"/>
      <c r="F32" s="108"/>
      <c r="G32" s="132">
        <v>1200000</v>
      </c>
      <c r="H32" s="132">
        <v>1200000</v>
      </c>
      <c r="I32" s="265"/>
      <c r="J32" s="265"/>
    </row>
    <row r="33" spans="1:10" s="4" customFormat="1" ht="15.75" x14ac:dyDescent="0.25">
      <c r="C33" s="12"/>
      <c r="D33" s="12"/>
      <c r="E33" s="108" t="s">
        <v>186</v>
      </c>
      <c r="F33" s="108"/>
      <c r="G33" s="137">
        <v>13000</v>
      </c>
      <c r="H33" s="137">
        <v>13000</v>
      </c>
      <c r="I33" s="265"/>
      <c r="J33" s="265"/>
    </row>
    <row r="34" spans="1:10" s="4" customFormat="1" ht="15.75" x14ac:dyDescent="0.25">
      <c r="B34" s="4" t="s">
        <v>187</v>
      </c>
      <c r="C34" s="12"/>
      <c r="D34" s="12" t="s">
        <v>188</v>
      </c>
      <c r="E34" s="108"/>
      <c r="F34" s="108"/>
      <c r="G34" s="220">
        <f>SUM(G35)</f>
        <v>72000</v>
      </c>
      <c r="H34" s="220">
        <f>SUM(H35)</f>
        <v>72000</v>
      </c>
      <c r="I34" s="265"/>
      <c r="J34" s="265"/>
    </row>
    <row r="35" spans="1:10" s="4" customFormat="1" ht="15.75" x14ac:dyDescent="0.25">
      <c r="C35" s="12" t="s">
        <v>189</v>
      </c>
      <c r="D35" s="12" t="s">
        <v>190</v>
      </c>
      <c r="E35" s="108"/>
      <c r="F35" s="108"/>
      <c r="G35" s="132">
        <v>72000</v>
      </c>
      <c r="H35" s="132">
        <v>72000</v>
      </c>
      <c r="I35" s="265"/>
      <c r="J35" s="265"/>
    </row>
    <row r="36" spans="1:10" s="4" customFormat="1" ht="15.75" x14ac:dyDescent="0.25">
      <c r="C36" s="12"/>
      <c r="D36" s="12"/>
      <c r="E36" s="108" t="s">
        <v>321</v>
      </c>
      <c r="F36" s="108"/>
      <c r="G36" s="137">
        <v>100000</v>
      </c>
      <c r="H36" s="137">
        <v>100000</v>
      </c>
      <c r="I36" s="265"/>
      <c r="J36" s="265"/>
    </row>
    <row r="37" spans="1:10" s="4" customFormat="1" ht="15.75" x14ac:dyDescent="0.25">
      <c r="B37" s="4" t="s">
        <v>191</v>
      </c>
      <c r="C37" s="12"/>
      <c r="D37" s="12" t="s">
        <v>192</v>
      </c>
      <c r="E37" s="12"/>
      <c r="F37" s="133"/>
      <c r="G37" s="219">
        <f>SUM(G38:G40)</f>
        <v>3502000</v>
      </c>
      <c r="H37" s="219">
        <f>SUM(H38:H40)</f>
        <v>3502000</v>
      </c>
      <c r="I37" s="265"/>
      <c r="J37" s="265"/>
    </row>
    <row r="38" spans="1:10" s="4" customFormat="1" ht="15.75" x14ac:dyDescent="0.25">
      <c r="C38" s="12" t="s">
        <v>193</v>
      </c>
      <c r="D38" s="12" t="s">
        <v>194</v>
      </c>
      <c r="E38" s="12"/>
      <c r="F38" s="133"/>
      <c r="G38" s="136">
        <v>3500000</v>
      </c>
      <c r="H38" s="136">
        <v>3500000</v>
      </c>
      <c r="I38" s="265"/>
      <c r="J38" s="265"/>
    </row>
    <row r="39" spans="1:10" s="4" customFormat="1" ht="15.75" x14ac:dyDescent="0.25">
      <c r="C39" s="12" t="s">
        <v>195</v>
      </c>
      <c r="D39" s="12" t="s">
        <v>322</v>
      </c>
      <c r="E39" s="12"/>
      <c r="F39" s="133"/>
      <c r="G39" s="136">
        <v>1000</v>
      </c>
      <c r="H39" s="136">
        <v>1000</v>
      </c>
      <c r="I39" s="265"/>
      <c r="J39" s="265"/>
    </row>
    <row r="40" spans="1:10" s="4" customFormat="1" ht="15.75" x14ac:dyDescent="0.25">
      <c r="C40" s="12" t="s">
        <v>197</v>
      </c>
      <c r="D40" s="12" t="s">
        <v>198</v>
      </c>
      <c r="E40" s="12"/>
      <c r="F40" s="133"/>
      <c r="G40" s="36">
        <v>1000</v>
      </c>
      <c r="H40" s="36">
        <v>1000</v>
      </c>
      <c r="I40" s="265"/>
      <c r="J40" s="265"/>
    </row>
    <row r="41" spans="1:10" s="10" customFormat="1" ht="15.75" x14ac:dyDescent="0.25">
      <c r="A41" s="10" t="s">
        <v>32</v>
      </c>
      <c r="B41" s="10" t="s">
        <v>33</v>
      </c>
      <c r="F41" s="124"/>
      <c r="G41" s="221">
        <f>SUM(G42:G43)</f>
        <v>0</v>
      </c>
      <c r="H41" s="221">
        <f>SUM(H42:H43)</f>
        <v>0</v>
      </c>
      <c r="I41" s="266"/>
      <c r="J41" s="266"/>
    </row>
    <row r="42" spans="1:10" s="10" customFormat="1" ht="15.75" x14ac:dyDescent="0.25">
      <c r="B42" s="12" t="s">
        <v>221</v>
      </c>
      <c r="D42" s="12" t="s">
        <v>323</v>
      </c>
      <c r="F42" s="124"/>
      <c r="G42" s="137">
        <v>0</v>
      </c>
      <c r="H42" s="137">
        <v>0</v>
      </c>
      <c r="I42" s="266"/>
      <c r="J42" s="266"/>
    </row>
    <row r="43" spans="1:10" s="10" customFormat="1" ht="15" customHeight="1" x14ac:dyDescent="0.25">
      <c r="B43" s="12" t="s">
        <v>223</v>
      </c>
      <c r="D43" s="12" t="s">
        <v>324</v>
      </c>
      <c r="F43" s="222"/>
      <c r="G43" s="137">
        <v>0</v>
      </c>
      <c r="H43" s="137">
        <v>0</v>
      </c>
      <c r="I43" s="266"/>
      <c r="J43" s="266"/>
    </row>
    <row r="44" spans="1:10" s="199" customFormat="1" ht="24.6" customHeight="1" x14ac:dyDescent="0.25">
      <c r="A44" s="326" t="s">
        <v>309</v>
      </c>
      <c r="B44" s="326"/>
      <c r="C44" s="326"/>
      <c r="D44" s="326"/>
      <c r="E44" s="326"/>
      <c r="F44" s="223">
        <v>1</v>
      </c>
      <c r="G44" s="224">
        <f>SUM(G45+G50)</f>
        <v>1064600</v>
      </c>
      <c r="H44" s="224">
        <f>SUM(H45+H50)</f>
        <v>1215763</v>
      </c>
      <c r="I44" s="263"/>
      <c r="J44" s="263"/>
    </row>
    <row r="45" spans="1:10" s="10" customFormat="1" ht="15.75" x14ac:dyDescent="0.25">
      <c r="A45" s="10" t="s">
        <v>21</v>
      </c>
      <c r="B45" s="14" t="s">
        <v>147</v>
      </c>
      <c r="C45" s="14"/>
      <c r="D45" s="14"/>
      <c r="E45" s="106"/>
      <c r="F45" s="106"/>
      <c r="G45" s="135">
        <f>SUM(G46)</f>
        <v>979000</v>
      </c>
      <c r="H45" s="135">
        <f>SUM(H46)</f>
        <v>1129163</v>
      </c>
      <c r="I45" s="264"/>
      <c r="J45" s="264"/>
    </row>
    <row r="46" spans="1:10" s="4" customFormat="1" ht="15.75" x14ac:dyDescent="0.25">
      <c r="B46" s="12" t="s">
        <v>148</v>
      </c>
      <c r="C46" s="12"/>
      <c r="D46" s="12" t="s">
        <v>149</v>
      </c>
      <c r="E46" s="108"/>
      <c r="F46" s="108"/>
      <c r="G46" s="130">
        <f>SUM(G47:G49)</f>
        <v>979000</v>
      </c>
      <c r="H46" s="130">
        <f>SUM(H47:H49)</f>
        <v>1129163</v>
      </c>
      <c r="I46" s="265"/>
      <c r="J46" s="265"/>
    </row>
    <row r="47" spans="1:10" s="4" customFormat="1" ht="15.75" x14ac:dyDescent="0.25">
      <c r="B47" s="12"/>
      <c r="C47" s="12" t="s">
        <v>150</v>
      </c>
      <c r="D47" s="12" t="s">
        <v>151</v>
      </c>
      <c r="E47" s="108"/>
      <c r="F47" s="108"/>
      <c r="G47" s="137">
        <v>979000</v>
      </c>
      <c r="H47" s="137">
        <v>979000</v>
      </c>
      <c r="I47" s="265"/>
      <c r="J47" s="265"/>
    </row>
    <row r="48" spans="1:10" s="4" customFormat="1" ht="15.75" x14ac:dyDescent="0.25">
      <c r="B48" s="12"/>
      <c r="C48" s="12" t="s">
        <v>152</v>
      </c>
      <c r="D48" s="12" t="s">
        <v>325</v>
      </c>
      <c r="E48" s="108"/>
      <c r="F48" s="108"/>
      <c r="G48" s="137">
        <v>0</v>
      </c>
      <c r="H48" s="137">
        <v>135339</v>
      </c>
      <c r="I48" s="265"/>
      <c r="J48" s="265"/>
    </row>
    <row r="49" spans="1:10" s="4" customFormat="1" ht="15.75" customHeight="1" x14ac:dyDescent="0.25">
      <c r="B49" s="12"/>
      <c r="C49" s="12" t="s">
        <v>156</v>
      </c>
      <c r="D49" s="12" t="s">
        <v>157</v>
      </c>
      <c r="E49" s="108"/>
      <c r="F49" s="108"/>
      <c r="G49" s="137">
        <v>0</v>
      </c>
      <c r="H49" s="137">
        <v>14824</v>
      </c>
      <c r="I49" s="265"/>
      <c r="J49" s="265"/>
    </row>
    <row r="50" spans="1:10" s="10" customFormat="1" ht="15.75" x14ac:dyDescent="0.25">
      <c r="A50" s="10" t="s">
        <v>23</v>
      </c>
      <c r="B50" s="10" t="s">
        <v>163</v>
      </c>
      <c r="E50" s="112"/>
      <c r="F50" s="113"/>
      <c r="G50" s="135">
        <f>SUM(G51)</f>
        <v>85600</v>
      </c>
      <c r="H50" s="135">
        <f>SUM(H51)</f>
        <v>86600</v>
      </c>
      <c r="I50" s="266"/>
      <c r="J50" s="266"/>
    </row>
    <row r="51" spans="1:10" s="4" customFormat="1" ht="24.75" customHeight="1" x14ac:dyDescent="0.25">
      <c r="B51" s="12"/>
      <c r="C51" s="12"/>
      <c r="D51" s="12" t="s">
        <v>164</v>
      </c>
      <c r="E51" s="108"/>
      <c r="F51" s="108"/>
      <c r="G51" s="137">
        <v>85600</v>
      </c>
      <c r="H51" s="137">
        <f>85600+1000</f>
        <v>86600</v>
      </c>
      <c r="I51" s="265"/>
      <c r="J51" s="265"/>
    </row>
    <row r="52" spans="1:10" s="199" customFormat="1" ht="21.75" customHeight="1" x14ac:dyDescent="0.25">
      <c r="A52" s="225" t="s">
        <v>38</v>
      </c>
      <c r="B52" s="226"/>
      <c r="C52" s="226"/>
      <c r="D52" s="226"/>
      <c r="E52" s="227"/>
      <c r="F52" s="227"/>
      <c r="G52" s="228">
        <f>SUM(G8,G44)</f>
        <v>60984416.225000001</v>
      </c>
      <c r="H52" s="228">
        <f>SUM(H8,H44)</f>
        <v>64615466.25</v>
      </c>
      <c r="I52" s="263"/>
      <c r="J52" s="263"/>
    </row>
    <row r="53" spans="1:10" s="199" customFormat="1" ht="15.75" x14ac:dyDescent="0.25">
      <c r="A53" s="229" t="s">
        <v>326</v>
      </c>
      <c r="B53" s="230"/>
      <c r="C53" s="230"/>
      <c r="D53" s="230"/>
      <c r="E53" s="231"/>
      <c r="F53" s="232">
        <f>SUM(F8,F44)</f>
        <v>9</v>
      </c>
      <c r="G53" s="233"/>
      <c r="H53" s="233"/>
      <c r="I53" s="263"/>
      <c r="J53" s="263"/>
    </row>
    <row r="54" spans="1:10" s="4" customFormat="1" ht="15.75" x14ac:dyDescent="0.25">
      <c r="A54" s="54" t="s">
        <v>21</v>
      </c>
      <c r="B54" s="53" t="s">
        <v>147</v>
      </c>
      <c r="C54" s="53"/>
      <c r="D54" s="53"/>
      <c r="E54" s="53"/>
      <c r="F54" s="234"/>
      <c r="G54" s="235">
        <f>G9+G45</f>
        <v>33454487</v>
      </c>
      <c r="H54" s="235">
        <f>H9+H45</f>
        <v>36706993</v>
      </c>
      <c r="I54" s="270"/>
      <c r="J54" s="265"/>
    </row>
    <row r="55" spans="1:10" s="4" customFormat="1" ht="15.75" x14ac:dyDescent="0.25">
      <c r="A55" s="54" t="s">
        <v>23</v>
      </c>
      <c r="B55" s="58" t="s">
        <v>163</v>
      </c>
      <c r="C55" s="58"/>
      <c r="D55" s="58"/>
      <c r="E55" s="58"/>
      <c r="F55" s="236"/>
      <c r="G55" s="237">
        <f>G18+G50</f>
        <v>5768810.2249999996</v>
      </c>
      <c r="H55" s="237">
        <f>H18+H50</f>
        <v>6312720.25</v>
      </c>
      <c r="I55" s="270"/>
      <c r="J55" s="265"/>
    </row>
    <row r="56" spans="1:10" s="4" customFormat="1" ht="15.75" x14ac:dyDescent="0.25">
      <c r="A56" s="54" t="s">
        <v>25</v>
      </c>
      <c r="B56" s="58" t="s">
        <v>26</v>
      </c>
      <c r="C56" s="58"/>
      <c r="D56" s="58"/>
      <c r="E56" s="58"/>
      <c r="F56" s="236"/>
      <c r="G56" s="237">
        <f>G21</f>
        <v>21761119</v>
      </c>
      <c r="H56" s="237">
        <f>H21</f>
        <v>21595753</v>
      </c>
      <c r="I56" s="270"/>
      <c r="J56" s="265"/>
    </row>
    <row r="57" spans="1:10" s="239" customFormat="1" ht="15.75" x14ac:dyDescent="0.25">
      <c r="A57" s="54" t="s">
        <v>32</v>
      </c>
      <c r="B57" s="58" t="s">
        <v>33</v>
      </c>
      <c r="C57" s="58"/>
      <c r="D57" s="58"/>
      <c r="E57" s="58"/>
      <c r="F57" s="236"/>
      <c r="G57" s="238">
        <f>G41</f>
        <v>0</v>
      </c>
      <c r="H57" s="238">
        <f>H41</f>
        <v>0</v>
      </c>
      <c r="I57" s="211"/>
      <c r="J57" s="211"/>
    </row>
    <row r="58" spans="1:10" s="239" customFormat="1" ht="18" customHeight="1" x14ac:dyDescent="0.25">
      <c r="A58" s="225" t="s">
        <v>327</v>
      </c>
      <c r="B58" s="226"/>
      <c r="C58" s="226"/>
      <c r="D58" s="226"/>
      <c r="E58" s="226"/>
      <c r="F58" s="226"/>
      <c r="G58" s="240">
        <f>SUM(G54:G57)</f>
        <v>60984416.225000001</v>
      </c>
      <c r="H58" s="240">
        <f>SUM(H54:H57)</f>
        <v>64615466.25</v>
      </c>
      <c r="I58" s="211"/>
      <c r="J58" s="211"/>
    </row>
    <row r="59" spans="1:10" s="199" customFormat="1" ht="18" customHeight="1" x14ac:dyDescent="0.25">
      <c r="F59" s="241"/>
      <c r="G59" s="237"/>
      <c r="H59" s="237"/>
      <c r="I59" s="263"/>
      <c r="J59" s="263"/>
    </row>
    <row r="60" spans="1:10" s="199" customFormat="1" ht="16.899999999999999" customHeight="1" x14ac:dyDescent="0.25">
      <c r="F60" s="242"/>
      <c r="G60" s="237"/>
      <c r="H60" s="237"/>
      <c r="I60" s="263"/>
      <c r="J60" s="263"/>
    </row>
    <row r="61" spans="1:10" s="199" customFormat="1" ht="15.75" x14ac:dyDescent="0.25">
      <c r="E61" s="243"/>
      <c r="F61" s="244"/>
      <c r="I61" s="263"/>
      <c r="J61" s="263"/>
    </row>
    <row r="62" spans="1:10" s="211" customFormat="1" ht="15.75" x14ac:dyDescent="0.25">
      <c r="E62" s="245"/>
      <c r="F62" s="246"/>
    </row>
    <row r="63" spans="1:10" s="211" customFormat="1" ht="15.75" x14ac:dyDescent="0.25">
      <c r="E63" s="245"/>
      <c r="F63" s="246"/>
    </row>
    <row r="64" spans="1:10" s="211" customFormat="1" ht="15.75" x14ac:dyDescent="0.25">
      <c r="F64" s="101"/>
      <c r="G64" s="239"/>
      <c r="H64" s="239"/>
    </row>
    <row r="65" spans="6:8" ht="15.75" x14ac:dyDescent="0.25">
      <c r="F65" s="239"/>
      <c r="G65" s="247"/>
      <c r="H65" s="247"/>
    </row>
    <row r="66" spans="6:8" ht="15.75" x14ac:dyDescent="0.25">
      <c r="G66" s="247"/>
      <c r="H66" s="247"/>
    </row>
    <row r="67" spans="6:8" ht="15.75" x14ac:dyDescent="0.25">
      <c r="G67" s="247"/>
      <c r="H67" s="247"/>
    </row>
  </sheetData>
  <sheetProtection selectLockedCells="1" selectUnlockedCells="1"/>
  <mergeCells count="8">
    <mergeCell ref="A8:E8"/>
    <mergeCell ref="A44:E44"/>
    <mergeCell ref="A6:E7"/>
    <mergeCell ref="F6:F7"/>
    <mergeCell ref="A1:H1"/>
    <mergeCell ref="A2:H2"/>
    <mergeCell ref="A4:H4"/>
    <mergeCell ref="A5:H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1"/>
  <sheetViews>
    <sheetView view="pageBreakPreview" zoomScale="110" zoomScaleNormal="110" zoomScaleSheetLayoutView="110" workbookViewId="0">
      <selection sqref="A1:C1"/>
    </sheetView>
  </sheetViews>
  <sheetFormatPr defaultColWidth="9.140625" defaultRowHeight="12.75" x14ac:dyDescent="0.2"/>
  <cols>
    <col min="1" max="1" width="65.140625" style="179" customWidth="1"/>
    <col min="2" max="2" width="19.42578125" style="179" customWidth="1"/>
    <col min="3" max="3" width="18" style="179" customWidth="1"/>
    <col min="4" max="16384" width="9.140625" style="179"/>
  </cols>
  <sheetData>
    <row r="1" spans="1:3" ht="15.75" x14ac:dyDescent="0.25">
      <c r="A1" s="324" t="s">
        <v>376</v>
      </c>
      <c r="B1" s="324"/>
      <c r="C1" s="324"/>
    </row>
    <row r="2" spans="1:3" ht="15.75" x14ac:dyDescent="0.25">
      <c r="A2" s="324" t="s">
        <v>364</v>
      </c>
      <c r="B2" s="324"/>
      <c r="C2" s="324"/>
    </row>
    <row r="3" spans="1:3" ht="15.75" x14ac:dyDescent="0.25">
      <c r="A3" s="180"/>
      <c r="B3" s="180"/>
    </row>
    <row r="4" spans="1:3" s="183" customFormat="1" ht="21" customHeight="1" x14ac:dyDescent="0.25">
      <c r="A4" s="325" t="s">
        <v>298</v>
      </c>
      <c r="B4" s="325"/>
      <c r="C4" s="325"/>
    </row>
    <row r="5" spans="1:3" s="183" customFormat="1" ht="23.25" customHeight="1" x14ac:dyDescent="0.25">
      <c r="A5" s="325" t="s">
        <v>295</v>
      </c>
      <c r="B5" s="325"/>
      <c r="C5" s="325"/>
    </row>
    <row r="6" spans="1:3" s="183" customFormat="1" ht="23.25" customHeight="1" x14ac:dyDescent="0.25">
      <c r="A6" s="184"/>
      <c r="B6" s="184"/>
      <c r="C6" s="184"/>
    </row>
    <row r="7" spans="1:3" s="183" customFormat="1" ht="15.75" customHeight="1" x14ac:dyDescent="0.25">
      <c r="A7" s="322" t="s">
        <v>268</v>
      </c>
      <c r="B7" s="256" t="s">
        <v>127</v>
      </c>
      <c r="C7" s="185" t="s">
        <v>127</v>
      </c>
    </row>
    <row r="8" spans="1:3" s="183" customFormat="1" ht="39" customHeight="1" x14ac:dyDescent="0.25">
      <c r="A8" s="322"/>
      <c r="B8" s="256" t="s">
        <v>4</v>
      </c>
      <c r="C8" s="186" t="s">
        <v>128</v>
      </c>
    </row>
    <row r="9" spans="1:3" s="183" customFormat="1" ht="25.15" customHeight="1" x14ac:dyDescent="0.25">
      <c r="A9" s="187" t="s">
        <v>328</v>
      </c>
      <c r="B9" s="188">
        <v>0</v>
      </c>
      <c r="C9" s="188">
        <v>0</v>
      </c>
    </row>
    <row r="10" spans="1:3" s="190" customFormat="1" ht="23.25" customHeight="1" x14ac:dyDescent="0.25">
      <c r="A10" s="189"/>
      <c r="B10" s="191">
        <v>0</v>
      </c>
      <c r="C10" s="191">
        <v>0</v>
      </c>
    </row>
    <row r="11" spans="1:3" s="192" customFormat="1" ht="26.25" customHeight="1" x14ac:dyDescent="0.25">
      <c r="A11" s="248" t="s">
        <v>297</v>
      </c>
      <c r="B11" s="249">
        <f>SUM(B9:B10)</f>
        <v>0</v>
      </c>
      <c r="C11" s="249">
        <f>SUM(C9:C10)</f>
        <v>0</v>
      </c>
    </row>
  </sheetData>
  <sheetProtection selectLockedCells="1" selectUnlockedCells="1"/>
  <mergeCells count="5">
    <mergeCell ref="A1:C1"/>
    <mergeCell ref="A2:C2"/>
    <mergeCell ref="A4:C4"/>
    <mergeCell ref="A5:C5"/>
    <mergeCell ref="A7:A8"/>
  </mergeCells>
  <printOptions headings="1" gridLines="1"/>
  <pageMargins left="0.75" right="0.75" top="1" bottom="1" header="0.51180555555555551" footer="0.51180555555555551"/>
  <pageSetup paperSize="9" scale="8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4"/>
  <sheetViews>
    <sheetView view="pageBreakPreview" topLeftCell="A61" zoomScale="110" zoomScaleNormal="120" zoomScaleSheetLayoutView="110" workbookViewId="0">
      <selection sqref="A1:G1"/>
    </sheetView>
  </sheetViews>
  <sheetFormatPr defaultColWidth="9.140625" defaultRowHeight="15.75" x14ac:dyDescent="0.25"/>
  <cols>
    <col min="1" max="1" width="4" style="4" customWidth="1"/>
    <col min="2" max="2" width="4.42578125" style="4" customWidth="1"/>
    <col min="3" max="3" width="6.42578125" style="4" customWidth="1"/>
    <col min="4" max="4" width="2.5703125" style="4" customWidth="1"/>
    <col min="5" max="5" width="68.7109375" style="4" customWidth="1"/>
    <col min="6" max="7" width="18.28515625" style="4" customWidth="1"/>
    <col min="8" max="8" width="16.28515625" style="4" customWidth="1"/>
    <col min="9" max="16384" width="9.140625" style="4"/>
  </cols>
  <sheetData>
    <row r="1" spans="1:8" x14ac:dyDescent="0.25">
      <c r="A1" s="293" t="s">
        <v>366</v>
      </c>
      <c r="B1" s="293"/>
      <c r="C1" s="293"/>
      <c r="D1" s="293"/>
      <c r="E1" s="293"/>
      <c r="F1" s="293"/>
      <c r="G1" s="294"/>
    </row>
    <row r="2" spans="1:8" x14ac:dyDescent="0.25">
      <c r="A2" s="293" t="s">
        <v>353</v>
      </c>
      <c r="B2" s="294"/>
      <c r="C2" s="294"/>
      <c r="D2" s="294"/>
      <c r="E2" s="294"/>
      <c r="F2" s="294"/>
      <c r="G2" s="294"/>
    </row>
    <row r="3" spans="1:8" s="28" customFormat="1" ht="16.5" customHeight="1" x14ac:dyDescent="0.25">
      <c r="A3" s="293"/>
      <c r="B3" s="293"/>
      <c r="C3" s="293"/>
      <c r="D3" s="293"/>
      <c r="E3" s="293"/>
      <c r="F3" s="293"/>
      <c r="G3" s="286"/>
    </row>
    <row r="4" spans="1:8" ht="22.5" customHeight="1" x14ac:dyDescent="0.25">
      <c r="A4" s="291" t="s">
        <v>0</v>
      </c>
      <c r="B4" s="291"/>
      <c r="C4" s="291"/>
      <c r="D4" s="291"/>
      <c r="E4" s="291"/>
      <c r="F4" s="291"/>
      <c r="G4" s="292"/>
    </row>
    <row r="5" spans="1:8" ht="18" customHeight="1" x14ac:dyDescent="0.25">
      <c r="A5" s="291" t="s">
        <v>39</v>
      </c>
      <c r="B5" s="291"/>
      <c r="C5" s="291"/>
      <c r="D5" s="291"/>
      <c r="E5" s="291"/>
      <c r="F5" s="291"/>
      <c r="G5" s="292"/>
    </row>
    <row r="6" spans="1:8" x14ac:dyDescent="0.25">
      <c r="A6" s="296"/>
      <c r="B6" s="296"/>
      <c r="C6" s="296"/>
      <c r="D6" s="296"/>
      <c r="E6" s="296"/>
      <c r="F6" s="29"/>
      <c r="G6" s="29"/>
    </row>
    <row r="7" spans="1:8" ht="23.45" customHeight="1" x14ac:dyDescent="0.25">
      <c r="A7" s="297" t="s">
        <v>40</v>
      </c>
      <c r="B7" s="297"/>
      <c r="C7" s="297"/>
      <c r="D7" s="297"/>
      <c r="E7" s="297"/>
      <c r="F7" s="31" t="s">
        <v>127</v>
      </c>
      <c r="G7" s="31" t="s">
        <v>127</v>
      </c>
    </row>
    <row r="8" spans="1:8" s="10" customFormat="1" ht="18.600000000000001" customHeight="1" x14ac:dyDescent="0.25">
      <c r="A8" s="297"/>
      <c r="B8" s="297"/>
      <c r="C8" s="297"/>
      <c r="D8" s="297"/>
      <c r="E8" s="297"/>
      <c r="F8" s="31" t="s">
        <v>4</v>
      </c>
      <c r="G8" s="31" t="s">
        <v>128</v>
      </c>
    </row>
    <row r="9" spans="1:8" s="10" customFormat="1" ht="28.5" customHeight="1" x14ac:dyDescent="0.25">
      <c r="A9" s="32" t="s">
        <v>41</v>
      </c>
      <c r="B9" s="32"/>
      <c r="C9" s="32"/>
      <c r="D9" s="32"/>
      <c r="E9" s="32"/>
      <c r="F9" s="33">
        <f t="shared" ref="F9:G13" si="0">SUM(F10)</f>
        <v>600000</v>
      </c>
      <c r="G9" s="33">
        <f>G10+G13</f>
        <v>1200000</v>
      </c>
    </row>
    <row r="10" spans="1:8" s="10" customFormat="1" x14ac:dyDescent="0.25">
      <c r="A10" s="10" t="s">
        <v>10</v>
      </c>
      <c r="B10" s="10" t="s">
        <v>11</v>
      </c>
      <c r="F10" s="34">
        <f t="shared" si="0"/>
        <v>600000</v>
      </c>
      <c r="G10" s="34">
        <f t="shared" si="0"/>
        <v>600000</v>
      </c>
    </row>
    <row r="11" spans="1:8" x14ac:dyDescent="0.25">
      <c r="C11" s="4" t="s">
        <v>42</v>
      </c>
      <c r="D11" s="4" t="s">
        <v>43</v>
      </c>
      <c r="F11" s="35">
        <f t="shared" si="0"/>
        <v>600000</v>
      </c>
      <c r="G11" s="35">
        <f t="shared" si="0"/>
        <v>600000</v>
      </c>
    </row>
    <row r="12" spans="1:8" x14ac:dyDescent="0.25">
      <c r="E12" s="4" t="s">
        <v>44</v>
      </c>
      <c r="F12" s="36">
        <v>600000</v>
      </c>
      <c r="G12" s="36">
        <v>600000</v>
      </c>
      <c r="H12" s="12"/>
    </row>
    <row r="13" spans="1:8" x14ac:dyDescent="0.25">
      <c r="A13" s="10" t="s">
        <v>349</v>
      </c>
      <c r="B13" s="10"/>
      <c r="C13" s="10"/>
      <c r="D13" s="10"/>
      <c r="E13" s="10"/>
      <c r="F13" s="34">
        <f t="shared" si="0"/>
        <v>0</v>
      </c>
      <c r="G13" s="34">
        <f t="shared" si="0"/>
        <v>600000</v>
      </c>
      <c r="H13" s="12"/>
    </row>
    <row r="14" spans="1:8" x14ac:dyDescent="0.25">
      <c r="C14" s="4" t="s">
        <v>348</v>
      </c>
      <c r="D14" s="4" t="s">
        <v>350</v>
      </c>
      <c r="F14" s="35">
        <v>0</v>
      </c>
      <c r="G14" s="35">
        <v>600000</v>
      </c>
      <c r="H14" s="12"/>
    </row>
    <row r="15" spans="1:8" ht="37.5" customHeight="1" x14ac:dyDescent="0.25">
      <c r="A15" s="295" t="s">
        <v>45</v>
      </c>
      <c r="B15" s="295"/>
      <c r="C15" s="295"/>
      <c r="D15" s="295"/>
      <c r="E15" s="295"/>
      <c r="F15" s="37">
        <f>SUM(F20+F16)</f>
        <v>76000</v>
      </c>
      <c r="G15" s="37">
        <f>SUM(G20+G16)</f>
        <v>46000</v>
      </c>
    </row>
    <row r="16" spans="1:8" s="10" customFormat="1" x14ac:dyDescent="0.25">
      <c r="A16" s="10" t="s">
        <v>10</v>
      </c>
      <c r="B16" s="10" t="s">
        <v>11</v>
      </c>
      <c r="F16" s="34">
        <f>SUM(F17:F19)</f>
        <v>71000</v>
      </c>
      <c r="G16" s="34">
        <f>SUM(G17:G19)</f>
        <v>41000</v>
      </c>
    </row>
    <row r="17" spans="1:10" x14ac:dyDescent="0.25">
      <c r="C17" s="4" t="s">
        <v>42</v>
      </c>
      <c r="D17" s="4" t="s">
        <v>43</v>
      </c>
      <c r="F17" s="35">
        <v>60000</v>
      </c>
      <c r="G17" s="35">
        <v>30000</v>
      </c>
      <c r="H17" s="38"/>
      <c r="I17" s="38"/>
      <c r="J17" s="29"/>
    </row>
    <row r="18" spans="1:10" x14ac:dyDescent="0.25">
      <c r="C18" s="4" t="s">
        <v>46</v>
      </c>
      <c r="D18" s="4" t="s">
        <v>47</v>
      </c>
      <c r="F18" s="35">
        <v>1000</v>
      </c>
      <c r="G18" s="35">
        <v>1000</v>
      </c>
    </row>
    <row r="19" spans="1:10" x14ac:dyDescent="0.25">
      <c r="C19" s="4" t="s">
        <v>48</v>
      </c>
      <c r="D19" s="4" t="s">
        <v>49</v>
      </c>
      <c r="F19" s="35">
        <v>10000</v>
      </c>
      <c r="G19" s="35">
        <v>10000</v>
      </c>
    </row>
    <row r="20" spans="1:10" s="10" customFormat="1" x14ac:dyDescent="0.25">
      <c r="A20" s="10" t="s">
        <v>12</v>
      </c>
      <c r="B20" s="10" t="s">
        <v>13</v>
      </c>
      <c r="F20" s="39">
        <f>SUM(F21)</f>
        <v>5000</v>
      </c>
      <c r="G20" s="39">
        <f>SUM(G21)</f>
        <v>5000</v>
      </c>
      <c r="H20" s="40"/>
      <c r="I20" s="40"/>
      <c r="J20" s="41"/>
    </row>
    <row r="21" spans="1:10" x14ac:dyDescent="0.25">
      <c r="B21" s="4" t="s">
        <v>50</v>
      </c>
      <c r="D21" s="4" t="s">
        <v>51</v>
      </c>
      <c r="F21" s="35">
        <v>5000</v>
      </c>
      <c r="G21" s="35">
        <v>5000</v>
      </c>
      <c r="H21" s="38"/>
      <c r="I21" s="38"/>
      <c r="J21" s="29"/>
    </row>
    <row r="22" spans="1:10" ht="32.25" customHeight="1" x14ac:dyDescent="0.25">
      <c r="A22" s="295" t="s">
        <v>52</v>
      </c>
      <c r="B22" s="295"/>
      <c r="C22" s="295"/>
      <c r="D22" s="295"/>
      <c r="E22" s="295"/>
      <c r="F22" s="37">
        <f t="shared" ref="F22:G25" si="1">SUM(F23)</f>
        <v>32503324</v>
      </c>
      <c r="G22" s="37">
        <f t="shared" si="1"/>
        <v>32503324</v>
      </c>
    </row>
    <row r="23" spans="1:10" s="10" customFormat="1" x14ac:dyDescent="0.25">
      <c r="A23" s="10" t="s">
        <v>17</v>
      </c>
      <c r="B23" s="10" t="s">
        <v>18</v>
      </c>
      <c r="F23" s="34">
        <f t="shared" si="1"/>
        <v>32503324</v>
      </c>
      <c r="G23" s="34">
        <f t="shared" si="1"/>
        <v>32503324</v>
      </c>
    </row>
    <row r="24" spans="1:10" x14ac:dyDescent="0.25">
      <c r="B24" s="4" t="s">
        <v>53</v>
      </c>
      <c r="D24" s="4" t="s">
        <v>54</v>
      </c>
      <c r="F24" s="3">
        <f t="shared" si="1"/>
        <v>32503324</v>
      </c>
      <c r="G24" s="3">
        <f t="shared" si="1"/>
        <v>32503324</v>
      </c>
    </row>
    <row r="25" spans="1:10" x14ac:dyDescent="0.25">
      <c r="C25" s="4" t="s">
        <v>55</v>
      </c>
      <c r="D25" s="4" t="s">
        <v>56</v>
      </c>
      <c r="F25" s="35">
        <f t="shared" si="1"/>
        <v>32503324</v>
      </c>
      <c r="G25" s="35">
        <f t="shared" si="1"/>
        <v>32503324</v>
      </c>
    </row>
    <row r="26" spans="1:10" x14ac:dyDescent="0.25">
      <c r="C26" s="4" t="s">
        <v>57</v>
      </c>
      <c r="E26" s="4" t="s">
        <v>58</v>
      </c>
      <c r="F26" s="35">
        <v>32503324</v>
      </c>
      <c r="G26" s="35">
        <v>32503324</v>
      </c>
    </row>
    <row r="27" spans="1:10" s="10" customFormat="1" ht="30.75" customHeight="1" x14ac:dyDescent="0.25">
      <c r="A27" s="42" t="s">
        <v>59</v>
      </c>
      <c r="B27" s="42"/>
      <c r="C27" s="42"/>
      <c r="D27" s="42"/>
      <c r="E27" s="42"/>
      <c r="F27" s="43">
        <f>SUM(F28)</f>
        <v>8930000</v>
      </c>
      <c r="G27" s="43">
        <f>SUM(G28)</f>
        <v>6945611</v>
      </c>
    </row>
    <row r="28" spans="1:10" s="10" customFormat="1" x14ac:dyDescent="0.25">
      <c r="A28" s="10" t="s">
        <v>8</v>
      </c>
      <c r="B28" s="10" t="s">
        <v>9</v>
      </c>
      <c r="F28" s="34">
        <f>SUM(F29+F32+F39)</f>
        <v>8930000</v>
      </c>
      <c r="G28" s="34">
        <f>SUM(G29+G32+G39)</f>
        <v>6945611</v>
      </c>
    </row>
    <row r="29" spans="1:10" x14ac:dyDescent="0.25">
      <c r="B29" s="4" t="s">
        <v>60</v>
      </c>
      <c r="D29" s="4" t="s">
        <v>61</v>
      </c>
      <c r="F29" s="44">
        <f>SUM(F30:F31)</f>
        <v>3700000</v>
      </c>
      <c r="G29" s="44">
        <f>SUM(G30:G31)</f>
        <v>3700000</v>
      </c>
    </row>
    <row r="30" spans="1:10" x14ac:dyDescent="0.25">
      <c r="E30" s="4" t="s">
        <v>62</v>
      </c>
      <c r="F30" s="36">
        <v>1800000</v>
      </c>
      <c r="G30" s="36">
        <v>1800000</v>
      </c>
    </row>
    <row r="31" spans="1:10" x14ac:dyDescent="0.25">
      <c r="A31" s="10"/>
      <c r="B31" s="10"/>
      <c r="C31" s="10"/>
      <c r="D31" s="10"/>
      <c r="E31" s="4" t="s">
        <v>63</v>
      </c>
      <c r="F31" s="36">
        <v>1900000</v>
      </c>
      <c r="G31" s="36">
        <v>1900000</v>
      </c>
    </row>
    <row r="32" spans="1:10" x14ac:dyDescent="0.25">
      <c r="A32" s="10"/>
      <c r="B32" s="4" t="s">
        <v>64</v>
      </c>
      <c r="D32" s="4" t="s">
        <v>65</v>
      </c>
      <c r="F32" s="3">
        <f>SUM(F33+F35+F37)</f>
        <v>5200000</v>
      </c>
      <c r="G32" s="3">
        <f>SUM(G33+G35+G37)</f>
        <v>3118635</v>
      </c>
    </row>
    <row r="33" spans="1:8" x14ac:dyDescent="0.25">
      <c r="A33" s="10"/>
      <c r="C33" s="4" t="s">
        <v>66</v>
      </c>
      <c r="D33" s="4" t="s">
        <v>67</v>
      </c>
      <c r="F33" s="44">
        <f>SUM(F34)</f>
        <v>4000000</v>
      </c>
      <c r="G33" s="44">
        <f>SUM(G34)</f>
        <v>3000000</v>
      </c>
    </row>
    <row r="34" spans="1:8" x14ac:dyDescent="0.25">
      <c r="A34" s="10"/>
      <c r="E34" s="4" t="s">
        <v>68</v>
      </c>
      <c r="F34" s="36">
        <v>4000000</v>
      </c>
      <c r="G34" s="36">
        <v>3000000</v>
      </c>
    </row>
    <row r="35" spans="1:8" x14ac:dyDescent="0.25">
      <c r="A35" s="10"/>
      <c r="C35" s="4" t="s">
        <v>69</v>
      </c>
      <c r="D35" s="4" t="s">
        <v>70</v>
      </c>
      <c r="F35" s="44">
        <f>SUM(F36)</f>
        <v>850000</v>
      </c>
      <c r="G35" s="44">
        <f>SUM(G36)</f>
        <v>54335</v>
      </c>
    </row>
    <row r="36" spans="1:8" x14ac:dyDescent="0.25">
      <c r="A36" s="10"/>
      <c r="E36" s="4" t="s">
        <v>71</v>
      </c>
      <c r="F36" s="36">
        <v>850000</v>
      </c>
      <c r="G36" s="36">
        <v>54335</v>
      </c>
    </row>
    <row r="37" spans="1:8" x14ac:dyDescent="0.25">
      <c r="A37" s="10"/>
      <c r="C37" s="4" t="s">
        <v>72</v>
      </c>
      <c r="D37" s="4" t="s">
        <v>73</v>
      </c>
      <c r="F37" s="44">
        <f>SUM(F38)</f>
        <v>350000</v>
      </c>
      <c r="G37" s="44">
        <f>SUM(G38)</f>
        <v>64300</v>
      </c>
    </row>
    <row r="38" spans="1:8" x14ac:dyDescent="0.25">
      <c r="A38" s="10"/>
      <c r="E38" s="4" t="s">
        <v>74</v>
      </c>
      <c r="F38" s="36">
        <v>350000</v>
      </c>
      <c r="G38" s="36">
        <v>64300</v>
      </c>
    </row>
    <row r="39" spans="1:8" x14ac:dyDescent="0.25">
      <c r="B39" s="4" t="s">
        <v>75</v>
      </c>
      <c r="D39" s="4" t="s">
        <v>76</v>
      </c>
      <c r="F39" s="3">
        <f>SUM(F40:F40)</f>
        <v>30000</v>
      </c>
      <c r="G39" s="3">
        <f>SUM(G40:G40)</f>
        <v>126976</v>
      </c>
    </row>
    <row r="40" spans="1:8" x14ac:dyDescent="0.25">
      <c r="E40" s="4" t="s">
        <v>77</v>
      </c>
      <c r="F40" s="36">
        <v>30000</v>
      </c>
      <c r="G40" s="36">
        <v>126976</v>
      </c>
    </row>
    <row r="41" spans="1:8" s="10" customFormat="1" ht="32.25" customHeight="1" x14ac:dyDescent="0.25">
      <c r="A41" s="42" t="s">
        <v>78</v>
      </c>
      <c r="B41" s="42"/>
      <c r="C41" s="42"/>
      <c r="D41" s="42"/>
      <c r="E41" s="42"/>
      <c r="F41" s="37">
        <f>SUM(F42)</f>
        <v>100000</v>
      </c>
      <c r="G41" s="37">
        <f>SUM(G42)</f>
        <v>100000</v>
      </c>
    </row>
    <row r="42" spans="1:8" s="10" customFormat="1" x14ac:dyDescent="0.25">
      <c r="A42" s="10" t="s">
        <v>10</v>
      </c>
      <c r="B42" s="10" t="s">
        <v>11</v>
      </c>
      <c r="F42" s="39">
        <f>SUM(F43)</f>
        <v>100000</v>
      </c>
      <c r="G42" s="39">
        <f>SUM(G43)</f>
        <v>100000</v>
      </c>
    </row>
    <row r="43" spans="1:8" x14ac:dyDescent="0.25">
      <c r="C43" s="4" t="s">
        <v>42</v>
      </c>
      <c r="D43" s="4" t="s">
        <v>43</v>
      </c>
      <c r="F43" s="35">
        <v>100000</v>
      </c>
      <c r="G43" s="35">
        <v>100000</v>
      </c>
    </row>
    <row r="44" spans="1:8" s="10" customFormat="1" ht="33" customHeight="1" x14ac:dyDescent="0.25">
      <c r="A44" s="42" t="s">
        <v>79</v>
      </c>
      <c r="B44" s="42"/>
      <c r="C44" s="42"/>
      <c r="D44" s="42"/>
      <c r="E44" s="42"/>
      <c r="F44" s="37">
        <f>SUM(F45)</f>
        <v>51954327</v>
      </c>
      <c r="G44" s="37">
        <f>SUM(G45)</f>
        <v>55371488</v>
      </c>
      <c r="H44" s="34"/>
    </row>
    <row r="45" spans="1:8" ht="18" customHeight="1" x14ac:dyDescent="0.25">
      <c r="A45" s="10" t="s">
        <v>6</v>
      </c>
      <c r="B45" s="10" t="s">
        <v>7</v>
      </c>
      <c r="C45" s="10"/>
      <c r="D45" s="10"/>
      <c r="E45" s="10"/>
      <c r="F45" s="45">
        <f>SUM(F46+F67)</f>
        <v>51954327</v>
      </c>
      <c r="G45" s="45">
        <f>SUM(G46+G67)</f>
        <v>55371488</v>
      </c>
      <c r="H45" s="3"/>
    </row>
    <row r="46" spans="1:8" x14ac:dyDescent="0.25">
      <c r="B46" s="4" t="s">
        <v>80</v>
      </c>
      <c r="D46" s="4" t="s">
        <v>81</v>
      </c>
      <c r="F46" s="35">
        <f>SUM(F47+F58+F65+F66)</f>
        <v>47780440</v>
      </c>
      <c r="G46" s="35">
        <f>SUM(G47+G58+G65+G66)</f>
        <v>49811951</v>
      </c>
    </row>
    <row r="47" spans="1:8" s="10" customFormat="1" x14ac:dyDescent="0.25">
      <c r="C47" s="4" t="s">
        <v>82</v>
      </c>
      <c r="D47" s="4" t="s">
        <v>83</v>
      </c>
      <c r="E47" s="4"/>
      <c r="F47" s="39">
        <f>SUM(F48,F53,F54,F55,F56,F57)</f>
        <v>10509160</v>
      </c>
      <c r="G47" s="39">
        <f>SUM(G48,G53,G54,G55,G56,G57)</f>
        <v>10344671</v>
      </c>
    </row>
    <row r="48" spans="1:8" s="10" customFormat="1" x14ac:dyDescent="0.25">
      <c r="C48" s="4"/>
      <c r="D48" s="4"/>
      <c r="E48" s="4" t="s">
        <v>84</v>
      </c>
      <c r="F48" s="44">
        <f>SUM(F49:F52)</f>
        <v>4210060</v>
      </c>
      <c r="G48" s="44">
        <f>SUM(G49:G52)</f>
        <v>4210060</v>
      </c>
    </row>
    <row r="49" spans="3:8" s="10" customFormat="1" x14ac:dyDescent="0.25">
      <c r="C49" s="4"/>
      <c r="D49" s="4"/>
      <c r="E49" s="4" t="s">
        <v>85</v>
      </c>
      <c r="F49" s="35">
        <v>1267560</v>
      </c>
      <c r="G49" s="35">
        <v>1267560</v>
      </c>
    </row>
    <row r="50" spans="3:8" s="10" customFormat="1" x14ac:dyDescent="0.25">
      <c r="C50" s="4"/>
      <c r="D50" s="4"/>
      <c r="E50" s="4" t="s">
        <v>86</v>
      </c>
      <c r="F50" s="35">
        <v>2048000</v>
      </c>
      <c r="G50" s="35">
        <v>2048000</v>
      </c>
    </row>
    <row r="51" spans="3:8" s="10" customFormat="1" x14ac:dyDescent="0.25">
      <c r="C51" s="4"/>
      <c r="D51" s="4"/>
      <c r="E51" s="4" t="s">
        <v>87</v>
      </c>
      <c r="F51" s="35">
        <v>100000</v>
      </c>
      <c r="G51" s="35">
        <v>100000</v>
      </c>
    </row>
    <row r="52" spans="3:8" s="10" customFormat="1" x14ac:dyDescent="0.25">
      <c r="C52" s="4"/>
      <c r="D52" s="4"/>
      <c r="E52" s="4" t="s">
        <v>88</v>
      </c>
      <c r="F52" s="35">
        <v>794500</v>
      </c>
      <c r="G52" s="35">
        <v>794500</v>
      </c>
    </row>
    <row r="53" spans="3:8" s="10" customFormat="1" x14ac:dyDescent="0.25">
      <c r="C53" s="4"/>
      <c r="D53" s="4"/>
      <c r="E53" s="4" t="s">
        <v>89</v>
      </c>
      <c r="F53" s="44">
        <v>5000000</v>
      </c>
      <c r="G53" s="44">
        <v>5000000</v>
      </c>
    </row>
    <row r="54" spans="3:8" s="10" customFormat="1" x14ac:dyDescent="0.25">
      <c r="C54" s="4"/>
      <c r="D54" s="4"/>
      <c r="E54" s="4" t="s">
        <v>90</v>
      </c>
      <c r="F54" s="44">
        <v>91800</v>
      </c>
      <c r="G54" s="44">
        <v>91800</v>
      </c>
    </row>
    <row r="55" spans="3:8" s="10" customFormat="1" x14ac:dyDescent="0.25">
      <c r="C55" s="4"/>
      <c r="D55" s="4"/>
      <c r="E55" s="4" t="s">
        <v>91</v>
      </c>
      <c r="F55" s="44">
        <v>252800</v>
      </c>
      <c r="G55" s="44">
        <v>88311</v>
      </c>
    </row>
    <row r="56" spans="3:8" s="10" customFormat="1" x14ac:dyDescent="0.25">
      <c r="C56" s="4"/>
      <c r="D56" s="4"/>
      <c r="E56" s="4" t="s">
        <v>92</v>
      </c>
      <c r="F56" s="44">
        <v>954500</v>
      </c>
      <c r="G56" s="44">
        <v>954500</v>
      </c>
    </row>
    <row r="57" spans="3:8" s="10" customFormat="1" x14ac:dyDescent="0.25">
      <c r="C57" s="4"/>
      <c r="D57" s="4"/>
      <c r="E57" s="4" t="s">
        <v>93</v>
      </c>
      <c r="F57" s="44">
        <v>0</v>
      </c>
      <c r="G57" s="44">
        <v>0</v>
      </c>
    </row>
    <row r="58" spans="3:8" ht="30.75" customHeight="1" x14ac:dyDescent="0.25">
      <c r="C58" s="4" t="s">
        <v>94</v>
      </c>
      <c r="D58" s="298" t="s">
        <v>95</v>
      </c>
      <c r="E58" s="298"/>
      <c r="F58" s="39">
        <f>SUM(F59+F60+F64+F63)</f>
        <v>35471280</v>
      </c>
      <c r="G58" s="39">
        <f>SUM(G59+G60+G64+G63)</f>
        <v>37467280</v>
      </c>
      <c r="H58" s="3"/>
    </row>
    <row r="59" spans="3:8" ht="15" customHeight="1" x14ac:dyDescent="0.25">
      <c r="D59" s="46"/>
      <c r="E59" s="46" t="s">
        <v>96</v>
      </c>
      <c r="F59" s="47">
        <f>3100000+1150000</f>
        <v>4250000</v>
      </c>
      <c r="G59" s="47">
        <f>4250000+229000</f>
        <v>4479000</v>
      </c>
    </row>
    <row r="60" spans="3:8" ht="15" customHeight="1" x14ac:dyDescent="0.25">
      <c r="D60" s="46"/>
      <c r="E60" s="46" t="s">
        <v>97</v>
      </c>
      <c r="F60" s="47">
        <f>SUM(F61:F62)</f>
        <v>27871280</v>
      </c>
      <c r="G60" s="47">
        <f>SUM(G61:G62)</f>
        <v>29638280</v>
      </c>
      <c r="H60" s="27"/>
    </row>
    <row r="61" spans="3:8" ht="15" customHeight="1" x14ac:dyDescent="0.25">
      <c r="D61" s="46"/>
      <c r="E61" s="46" t="s">
        <v>98</v>
      </c>
      <c r="F61" s="48">
        <v>27006280</v>
      </c>
      <c r="G61" s="48">
        <f>27006280+2632000</f>
        <v>29638280</v>
      </c>
    </row>
    <row r="62" spans="3:8" ht="15" customHeight="1" x14ac:dyDescent="0.25">
      <c r="D62" s="46"/>
      <c r="E62" s="46" t="s">
        <v>99</v>
      </c>
      <c r="F62" s="48">
        <v>865000</v>
      </c>
      <c r="G62" s="48">
        <v>0</v>
      </c>
    </row>
    <row r="63" spans="3:8" ht="15" customHeight="1" x14ac:dyDescent="0.25">
      <c r="D63" s="46"/>
      <c r="E63" s="46" t="s">
        <v>100</v>
      </c>
      <c r="F63" s="47">
        <v>0</v>
      </c>
      <c r="G63" s="47">
        <v>0</v>
      </c>
    </row>
    <row r="64" spans="3:8" ht="15" customHeight="1" x14ac:dyDescent="0.25">
      <c r="D64" s="46"/>
      <c r="E64" s="46" t="s">
        <v>101</v>
      </c>
      <c r="F64" s="47">
        <v>3350000</v>
      </c>
      <c r="G64" s="47">
        <v>3350000</v>
      </c>
    </row>
    <row r="65" spans="1:9" x14ac:dyDescent="0.25">
      <c r="C65" s="4" t="s">
        <v>102</v>
      </c>
      <c r="D65" s="4" t="s">
        <v>103</v>
      </c>
      <c r="F65" s="45">
        <v>1800000</v>
      </c>
      <c r="G65" s="45">
        <f>1800000+200000</f>
        <v>2000000</v>
      </c>
    </row>
    <row r="66" spans="1:9" x14ac:dyDescent="0.25">
      <c r="C66" s="4" t="s">
        <v>104</v>
      </c>
      <c r="D66" s="4" t="s">
        <v>105</v>
      </c>
      <c r="F66" s="35">
        <v>0</v>
      </c>
      <c r="G66" s="35">
        <v>0</v>
      </c>
    </row>
    <row r="67" spans="1:9" x14ac:dyDescent="0.25">
      <c r="B67" s="4" t="s">
        <v>106</v>
      </c>
      <c r="D67" s="4" t="s">
        <v>107</v>
      </c>
      <c r="F67" s="45">
        <f>F68</f>
        <v>4173887</v>
      </c>
      <c r="G67" s="45">
        <f>G68+G69</f>
        <v>5559537</v>
      </c>
      <c r="H67" s="38"/>
    </row>
    <row r="68" spans="1:9" x14ac:dyDescent="0.25">
      <c r="E68" s="4" t="s">
        <v>108</v>
      </c>
      <c r="F68" s="44">
        <v>4173887</v>
      </c>
      <c r="G68" s="44">
        <v>5537937</v>
      </c>
    </row>
    <row r="69" spans="1:9" x14ac:dyDescent="0.25">
      <c r="E69" s="4" t="s">
        <v>343</v>
      </c>
      <c r="F69" s="44">
        <v>0</v>
      </c>
      <c r="G69" s="44">
        <v>21600</v>
      </c>
    </row>
    <row r="70" spans="1:9" s="10" customFormat="1" ht="30.75" customHeight="1" x14ac:dyDescent="0.25">
      <c r="A70" s="42" t="s">
        <v>109</v>
      </c>
      <c r="B70" s="42"/>
      <c r="C70" s="42"/>
      <c r="D70" s="42"/>
      <c r="E70" s="42"/>
      <c r="F70" s="49">
        <f>SUM(F71)</f>
        <v>3900000</v>
      </c>
      <c r="G70" s="49">
        <f>SUM(G71)</f>
        <v>3900000</v>
      </c>
      <c r="I70" s="10" t="s">
        <v>110</v>
      </c>
    </row>
    <row r="71" spans="1:9" s="10" customFormat="1" x14ac:dyDescent="0.25">
      <c r="A71" s="10" t="s">
        <v>17</v>
      </c>
      <c r="B71" s="10" t="s">
        <v>18</v>
      </c>
      <c r="E71" s="14"/>
      <c r="F71" s="39">
        <f>SUM(F72)</f>
        <v>3900000</v>
      </c>
      <c r="G71" s="39">
        <f>SUM(G72)</f>
        <v>3900000</v>
      </c>
    </row>
    <row r="72" spans="1:9" x14ac:dyDescent="0.25">
      <c r="C72" s="4" t="s">
        <v>111</v>
      </c>
      <c r="D72" s="4" t="s">
        <v>112</v>
      </c>
      <c r="E72" s="12"/>
      <c r="F72" s="36">
        <v>3900000</v>
      </c>
      <c r="G72" s="36">
        <v>3900000</v>
      </c>
    </row>
    <row r="73" spans="1:9" ht="29.45" customHeight="1" x14ac:dyDescent="0.25">
      <c r="A73" s="295" t="s">
        <v>113</v>
      </c>
      <c r="B73" s="295"/>
      <c r="C73" s="295"/>
      <c r="D73" s="295"/>
      <c r="E73" s="295"/>
      <c r="F73" s="37">
        <f t="shared" ref="F73:G75" si="2">F74</f>
        <v>0</v>
      </c>
      <c r="G73" s="37">
        <f t="shared" si="2"/>
        <v>7013517</v>
      </c>
    </row>
    <row r="74" spans="1:9" x14ac:dyDescent="0.25">
      <c r="A74" s="10" t="s">
        <v>15</v>
      </c>
      <c r="B74" s="10" t="s">
        <v>16</v>
      </c>
      <c r="C74" s="10"/>
      <c r="D74" s="10"/>
      <c r="E74" s="10"/>
      <c r="F74" s="34">
        <f t="shared" si="2"/>
        <v>0</v>
      </c>
      <c r="G74" s="34">
        <f t="shared" si="2"/>
        <v>7013517</v>
      </c>
    </row>
    <row r="75" spans="1:9" x14ac:dyDescent="0.25">
      <c r="B75" s="4" t="s">
        <v>114</v>
      </c>
      <c r="D75" s="4" t="s">
        <v>115</v>
      </c>
      <c r="F75" s="44">
        <f t="shared" si="2"/>
        <v>0</v>
      </c>
      <c r="G75" s="44">
        <f t="shared" si="2"/>
        <v>7013517</v>
      </c>
    </row>
    <row r="76" spans="1:9" x14ac:dyDescent="0.25">
      <c r="C76" s="4" t="s">
        <v>116</v>
      </c>
      <c r="D76" s="4" t="s">
        <v>117</v>
      </c>
      <c r="F76" s="35">
        <v>0</v>
      </c>
      <c r="G76" s="35">
        <f>SUM(G77:G78)</f>
        <v>7013517</v>
      </c>
    </row>
    <row r="77" spans="1:9" x14ac:dyDescent="0.25">
      <c r="E77" s="4" t="s">
        <v>344</v>
      </c>
      <c r="F77" s="35"/>
      <c r="G77" s="35">
        <v>1000000</v>
      </c>
    </row>
    <row r="78" spans="1:9" x14ac:dyDescent="0.25">
      <c r="E78" s="4" t="s">
        <v>345</v>
      </c>
      <c r="F78" s="35">
        <v>0</v>
      </c>
      <c r="G78" s="35">
        <v>6013517</v>
      </c>
    </row>
    <row r="79" spans="1:9" ht="29.45" customHeight="1" x14ac:dyDescent="0.25">
      <c r="A79" s="295" t="s">
        <v>118</v>
      </c>
      <c r="B79" s="295"/>
      <c r="C79" s="295"/>
      <c r="D79" s="295"/>
      <c r="E79" s="295"/>
      <c r="F79" s="37">
        <f>SUM(F85+F82+F80)</f>
        <v>150000</v>
      </c>
      <c r="G79" s="37">
        <f>SUM(G85+G82+G80)</f>
        <v>150000</v>
      </c>
    </row>
    <row r="80" spans="1:9" x14ac:dyDescent="0.25">
      <c r="A80" s="10" t="s">
        <v>15</v>
      </c>
      <c r="B80" s="10" t="s">
        <v>16</v>
      </c>
      <c r="C80" s="10"/>
      <c r="D80" s="10"/>
      <c r="E80" s="10"/>
      <c r="F80" s="34">
        <v>0</v>
      </c>
      <c r="G80" s="34">
        <v>0</v>
      </c>
    </row>
    <row r="81" spans="1:10" x14ac:dyDescent="0.25">
      <c r="B81" s="4" t="s">
        <v>119</v>
      </c>
      <c r="D81" s="4" t="s">
        <v>115</v>
      </c>
      <c r="F81" s="35">
        <v>0</v>
      </c>
      <c r="G81" s="35">
        <v>0</v>
      </c>
    </row>
    <row r="82" spans="1:10" x14ac:dyDescent="0.25">
      <c r="A82" s="10" t="s">
        <v>10</v>
      </c>
      <c r="B82" s="10" t="s">
        <v>11</v>
      </c>
      <c r="C82" s="10"/>
      <c r="D82" s="10"/>
      <c r="E82" s="10"/>
      <c r="F82" s="34">
        <f>SUM(F83:F84)</f>
        <v>100000</v>
      </c>
      <c r="G82" s="34">
        <f>SUM(G83:G84)</f>
        <v>100000</v>
      </c>
    </row>
    <row r="83" spans="1:10" s="10" customFormat="1" ht="19.149999999999999" customHeight="1" x14ac:dyDescent="0.25">
      <c r="C83" s="4" t="s">
        <v>120</v>
      </c>
      <c r="D83" s="4" t="s">
        <v>121</v>
      </c>
      <c r="E83" s="4"/>
      <c r="F83" s="45">
        <v>50000</v>
      </c>
      <c r="G83" s="45">
        <v>50000</v>
      </c>
    </row>
    <row r="84" spans="1:10" s="10" customFormat="1" x14ac:dyDescent="0.25">
      <c r="A84" s="4"/>
      <c r="B84" s="4"/>
      <c r="C84" s="4" t="s">
        <v>48</v>
      </c>
      <c r="D84" s="4" t="s">
        <v>49</v>
      </c>
      <c r="E84" s="4"/>
      <c r="F84" s="35">
        <v>50000</v>
      </c>
      <c r="G84" s="35">
        <v>50000</v>
      </c>
    </row>
    <row r="85" spans="1:10" x14ac:dyDescent="0.25">
      <c r="A85" s="10" t="s">
        <v>12</v>
      </c>
      <c r="B85" s="10" t="s">
        <v>13</v>
      </c>
      <c r="C85" s="10"/>
      <c r="D85" s="10"/>
      <c r="E85" s="10"/>
      <c r="F85" s="39">
        <f>F86</f>
        <v>50000</v>
      </c>
      <c r="G85" s="39">
        <f>G86</f>
        <v>50000</v>
      </c>
    </row>
    <row r="86" spans="1:10" ht="15.6" customHeight="1" x14ac:dyDescent="0.25">
      <c r="B86" s="4" t="s">
        <v>50</v>
      </c>
      <c r="D86" s="4" t="s">
        <v>51</v>
      </c>
      <c r="F86" s="35">
        <v>50000</v>
      </c>
      <c r="G86" s="35">
        <v>50000</v>
      </c>
    </row>
    <row r="87" spans="1:10" s="10" customFormat="1" ht="28.9" customHeight="1" x14ac:dyDescent="0.25">
      <c r="A87" s="42" t="s">
        <v>122</v>
      </c>
      <c r="B87" s="32"/>
      <c r="C87" s="32"/>
      <c r="D87" s="32"/>
      <c r="E87" s="32"/>
      <c r="F87" s="37">
        <f>SUM(F88)</f>
        <v>3193800</v>
      </c>
      <c r="G87" s="37">
        <f>SUM(G88)</f>
        <v>3193800</v>
      </c>
    </row>
    <row r="88" spans="1:10" x14ac:dyDescent="0.25">
      <c r="A88" s="14" t="s">
        <v>6</v>
      </c>
      <c r="B88" s="10" t="s">
        <v>7</v>
      </c>
      <c r="C88" s="14"/>
      <c r="D88" s="50"/>
      <c r="E88" s="39"/>
      <c r="F88" s="34">
        <f>SUM(F89)</f>
        <v>3193800</v>
      </c>
      <c r="G88" s="34">
        <f>SUM(G89)</f>
        <v>3193800</v>
      </c>
    </row>
    <row r="89" spans="1:10" ht="15" customHeight="1" x14ac:dyDescent="0.25">
      <c r="A89" s="14"/>
      <c r="B89" s="12" t="s">
        <v>106</v>
      </c>
      <c r="D89" s="4" t="s">
        <v>107</v>
      </c>
      <c r="E89" s="44"/>
      <c r="F89" s="35">
        <f>1064600*3</f>
        <v>3193800</v>
      </c>
      <c r="G89" s="35">
        <f>1064600*3</f>
        <v>3193800</v>
      </c>
    </row>
    <row r="90" spans="1:10" ht="23.45" customHeight="1" x14ac:dyDescent="0.25">
      <c r="A90" s="295" t="s">
        <v>123</v>
      </c>
      <c r="B90" s="295"/>
      <c r="C90" s="295"/>
      <c r="D90" s="295"/>
      <c r="E90" s="295"/>
      <c r="F90" s="37">
        <f>SUM(F91)</f>
        <v>100000</v>
      </c>
      <c r="G90" s="37">
        <f>SUM(G91)</f>
        <v>100000</v>
      </c>
    </row>
    <row r="91" spans="1:10" ht="15.6" customHeight="1" x14ac:dyDescent="0.25">
      <c r="A91" s="10" t="s">
        <v>10</v>
      </c>
      <c r="B91" s="10" t="s">
        <v>11</v>
      </c>
      <c r="C91" s="10"/>
      <c r="D91" s="10"/>
      <c r="E91" s="10"/>
      <c r="F91" s="34">
        <f>SUM(F92)</f>
        <v>100000</v>
      </c>
      <c r="G91" s="34">
        <f>SUM(G92)</f>
        <v>100000</v>
      </c>
    </row>
    <row r="92" spans="1:10" ht="15.6" customHeight="1" x14ac:dyDescent="0.25">
      <c r="C92" s="4" t="s">
        <v>42</v>
      </c>
      <c r="D92" s="4" t="s">
        <v>43</v>
      </c>
      <c r="F92" s="35">
        <v>100000</v>
      </c>
      <c r="G92" s="35">
        <v>100000</v>
      </c>
    </row>
    <row r="93" spans="1:10" s="51" customFormat="1" ht="18.600000000000001" customHeight="1" x14ac:dyDescent="0.25">
      <c r="A93" s="42" t="s">
        <v>124</v>
      </c>
      <c r="B93" s="42"/>
      <c r="C93" s="42"/>
      <c r="D93" s="42"/>
      <c r="E93" s="42"/>
      <c r="F93" s="43">
        <f>SUM(F9+F15+F22+F27+F44+F73+F79+F87+F90+F41+F70)</f>
        <v>101507451</v>
      </c>
      <c r="G93" s="43">
        <f>SUM(G9+G15+G22+G27+G44+G73+G79+G87+G90+G41+G70)</f>
        <v>110523740</v>
      </c>
      <c r="J93" s="52"/>
    </row>
    <row r="94" spans="1:10" s="51" customFormat="1" x14ac:dyDescent="0.25">
      <c r="A94" s="53" t="s">
        <v>6</v>
      </c>
      <c r="B94" s="54" t="s">
        <v>7</v>
      </c>
      <c r="C94" s="53"/>
      <c r="D94" s="55"/>
      <c r="E94" s="56"/>
      <c r="F94" s="57">
        <f>F88+F45</f>
        <v>55148127</v>
      </c>
      <c r="G94" s="57">
        <f>G88+G45</f>
        <v>58565288</v>
      </c>
      <c r="J94" s="52"/>
    </row>
    <row r="95" spans="1:10" s="51" customFormat="1" x14ac:dyDescent="0.25">
      <c r="A95" s="54" t="s">
        <v>15</v>
      </c>
      <c r="B95" s="54" t="s">
        <v>16</v>
      </c>
      <c r="C95" s="54"/>
      <c r="D95" s="54"/>
      <c r="E95" s="54"/>
      <c r="F95" s="57">
        <f>F74</f>
        <v>0</v>
      </c>
      <c r="G95" s="57">
        <f>G74</f>
        <v>7013517</v>
      </c>
      <c r="J95" s="52"/>
    </row>
    <row r="96" spans="1:10" s="54" customFormat="1" x14ac:dyDescent="0.25">
      <c r="A96" s="54" t="s">
        <v>8</v>
      </c>
      <c r="B96" s="58" t="s">
        <v>9</v>
      </c>
      <c r="C96" s="58"/>
      <c r="D96" s="58"/>
      <c r="E96" s="58"/>
      <c r="F96" s="57">
        <f>F28</f>
        <v>8930000</v>
      </c>
      <c r="G96" s="57">
        <f>G28</f>
        <v>6945611</v>
      </c>
      <c r="H96" s="59"/>
      <c r="J96" s="60"/>
    </row>
    <row r="97" spans="1:10" s="54" customFormat="1" x14ac:dyDescent="0.25">
      <c r="A97" s="54" t="s">
        <v>281</v>
      </c>
      <c r="B97" s="58" t="s">
        <v>282</v>
      </c>
      <c r="C97" s="58"/>
      <c r="D97" s="58"/>
      <c r="E97" s="58"/>
      <c r="F97" s="57">
        <v>0</v>
      </c>
      <c r="G97" s="57">
        <f>G13</f>
        <v>600000</v>
      </c>
      <c r="H97" s="59"/>
      <c r="J97" s="60"/>
    </row>
    <row r="98" spans="1:10" x14ac:dyDescent="0.25">
      <c r="A98" s="54" t="s">
        <v>10</v>
      </c>
      <c r="B98" s="58" t="s">
        <v>11</v>
      </c>
      <c r="C98" s="58"/>
      <c r="D98" s="58"/>
      <c r="E98" s="58"/>
      <c r="F98" s="57">
        <f>F10+F16+F42+F82+F91</f>
        <v>971000</v>
      </c>
      <c r="G98" s="57">
        <f>G10+G16+G42+G82+G91</f>
        <v>941000</v>
      </c>
    </row>
    <row r="99" spans="1:10" x14ac:dyDescent="0.25">
      <c r="A99" s="54" t="s">
        <v>12</v>
      </c>
      <c r="B99" s="54" t="s">
        <v>13</v>
      </c>
      <c r="C99" s="54"/>
      <c r="D99" s="54"/>
      <c r="E99" s="54"/>
      <c r="F99" s="57">
        <f>F21+F85</f>
        <v>55000</v>
      </c>
      <c r="G99" s="57">
        <f>G21+G85</f>
        <v>55000</v>
      </c>
    </row>
    <row r="100" spans="1:10" x14ac:dyDescent="0.25">
      <c r="A100" s="54" t="s">
        <v>17</v>
      </c>
      <c r="B100" s="54" t="s">
        <v>18</v>
      </c>
      <c r="C100" s="54"/>
      <c r="D100" s="54"/>
      <c r="E100" s="53"/>
      <c r="F100" s="61">
        <f>F71+F24</f>
        <v>36403324</v>
      </c>
      <c r="G100" s="61">
        <f>G71+G24</f>
        <v>36403324</v>
      </c>
    </row>
    <row r="101" spans="1:10" x14ac:dyDescent="0.25">
      <c r="A101" s="62" t="s">
        <v>124</v>
      </c>
      <c r="B101" s="63"/>
      <c r="C101" s="63"/>
      <c r="D101" s="63"/>
      <c r="E101" s="63"/>
      <c r="F101" s="64">
        <f>SUM(F94:F100)</f>
        <v>101507451</v>
      </c>
      <c r="G101" s="64">
        <f>SUM(G94:G100)</f>
        <v>110523740</v>
      </c>
    </row>
    <row r="102" spans="1:10" x14ac:dyDescent="0.25">
      <c r="E102" s="5"/>
    </row>
    <row r="103" spans="1:10" x14ac:dyDescent="0.25">
      <c r="E103" s="5"/>
      <c r="F103" s="3"/>
      <c r="G103" s="3"/>
    </row>
    <row r="104" spans="1:10" x14ac:dyDescent="0.25">
      <c r="E104" s="5"/>
      <c r="F104" s="65"/>
      <c r="G104" s="65"/>
    </row>
  </sheetData>
  <sheetProtection selectLockedCells="1" selectUnlockedCells="1"/>
  <mergeCells count="13">
    <mergeCell ref="A1:G1"/>
    <mergeCell ref="A4:G4"/>
    <mergeCell ref="A5:G5"/>
    <mergeCell ref="A90:E90"/>
    <mergeCell ref="A3:F3"/>
    <mergeCell ref="A6:E6"/>
    <mergeCell ref="A7:E8"/>
    <mergeCell ref="A2:G2"/>
    <mergeCell ref="A15:E15"/>
    <mergeCell ref="A22:E22"/>
    <mergeCell ref="D58:E58"/>
    <mergeCell ref="A73:E73"/>
    <mergeCell ref="A79:E79"/>
  </mergeCells>
  <printOptions headings="1" gridLines="1"/>
  <pageMargins left="0.70833333333333337" right="0.70833333333333337" top="0.55138888888888893" bottom="0.55138888888888893" header="0.51180555555555551" footer="0.51180555555555551"/>
  <pageSetup paperSize="9" scale="63" firstPageNumber="0" orientation="portrait" verticalDpi="300" r:id="rId1"/>
  <headerFooter alignWithMargins="0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view="pageBreakPreview" zoomScale="120" zoomScaleNormal="120" zoomScaleSheetLayoutView="120" workbookViewId="0">
      <selection sqref="A1:G1"/>
    </sheetView>
  </sheetViews>
  <sheetFormatPr defaultColWidth="9.140625" defaultRowHeight="12.75" x14ac:dyDescent="0.2"/>
  <cols>
    <col min="1" max="1" width="3.85546875" style="1" customWidth="1"/>
    <col min="2" max="2" width="4.5703125" style="1" customWidth="1"/>
    <col min="3" max="3" width="5.85546875" style="1" customWidth="1"/>
    <col min="4" max="4" width="4.7109375" style="1" customWidth="1"/>
    <col min="5" max="5" width="65.7109375" style="1" customWidth="1"/>
    <col min="6" max="7" width="18.28515625" style="1" customWidth="1"/>
    <col min="8" max="16384" width="9.140625" style="1"/>
  </cols>
  <sheetData>
    <row r="1" spans="1:8" ht="15.75" x14ac:dyDescent="0.25">
      <c r="A1" s="293" t="s">
        <v>367</v>
      </c>
      <c r="B1" s="293"/>
      <c r="C1" s="293"/>
      <c r="D1" s="293"/>
      <c r="E1" s="293"/>
      <c r="F1" s="293"/>
      <c r="G1" s="294"/>
    </row>
    <row r="2" spans="1:8" ht="15.75" x14ac:dyDescent="0.25">
      <c r="A2" s="293" t="s">
        <v>354</v>
      </c>
      <c r="B2" s="294"/>
      <c r="C2" s="294"/>
      <c r="D2" s="294"/>
      <c r="E2" s="294"/>
      <c r="F2" s="294"/>
      <c r="G2" s="294"/>
    </row>
    <row r="3" spans="1:8" s="28" customFormat="1" ht="16.5" customHeight="1" x14ac:dyDescent="0.25">
      <c r="A3" s="293"/>
      <c r="B3" s="293"/>
      <c r="C3" s="293"/>
      <c r="D3" s="293"/>
      <c r="E3" s="293"/>
      <c r="F3" s="293"/>
    </row>
    <row r="4" spans="1:8" s="4" customFormat="1" ht="23.25" customHeight="1" x14ac:dyDescent="0.25">
      <c r="A4" s="291" t="s">
        <v>0</v>
      </c>
      <c r="B4" s="291"/>
      <c r="C4" s="291"/>
      <c r="D4" s="291"/>
      <c r="E4" s="291"/>
      <c r="F4" s="299"/>
      <c r="G4" s="299"/>
    </row>
    <row r="5" spans="1:8" s="4" customFormat="1" ht="20.25" customHeight="1" x14ac:dyDescent="0.25">
      <c r="A5" s="291" t="s">
        <v>39</v>
      </c>
      <c r="B5" s="291"/>
      <c r="C5" s="291"/>
      <c r="D5" s="291"/>
      <c r="E5" s="291"/>
      <c r="F5" s="299"/>
      <c r="G5" s="299"/>
    </row>
    <row r="6" spans="1:8" s="4" customFormat="1" ht="15.75" x14ac:dyDescent="0.25">
      <c r="A6" s="296" t="s">
        <v>125</v>
      </c>
      <c r="B6" s="296"/>
      <c r="C6" s="296"/>
      <c r="D6" s="296"/>
      <c r="E6" s="296"/>
      <c r="F6" s="299"/>
      <c r="G6" s="299"/>
    </row>
    <row r="7" spans="1:8" s="7" customFormat="1" ht="15.75" x14ac:dyDescent="0.25">
      <c r="A7" s="66"/>
      <c r="B7" s="66"/>
      <c r="C7" s="66"/>
      <c r="D7" s="66"/>
      <c r="E7" s="66"/>
      <c r="F7" s="67"/>
      <c r="G7" s="67"/>
    </row>
    <row r="8" spans="1:8" s="4" customFormat="1" ht="31.5" customHeight="1" x14ac:dyDescent="0.25">
      <c r="A8" s="300" t="s">
        <v>126</v>
      </c>
      <c r="B8" s="300"/>
      <c r="C8" s="300"/>
      <c r="D8" s="300"/>
      <c r="E8" s="300"/>
      <c r="F8" s="68" t="s">
        <v>127</v>
      </c>
      <c r="G8" s="68" t="s">
        <v>127</v>
      </c>
    </row>
    <row r="9" spans="1:8" s="10" customFormat="1" ht="27" customHeight="1" x14ac:dyDescent="0.25">
      <c r="A9" s="300"/>
      <c r="B9" s="300"/>
      <c r="C9" s="300"/>
      <c r="D9" s="300"/>
      <c r="E9" s="300"/>
      <c r="F9" s="68" t="s">
        <v>4</v>
      </c>
      <c r="G9" s="68" t="s">
        <v>128</v>
      </c>
    </row>
    <row r="10" spans="1:8" s="4" customFormat="1" ht="18" customHeight="1" x14ac:dyDescent="0.25">
      <c r="A10" s="10" t="s">
        <v>6</v>
      </c>
      <c r="B10" s="10" t="s">
        <v>7</v>
      </c>
      <c r="C10" s="10"/>
      <c r="D10" s="10"/>
      <c r="E10" s="10"/>
      <c r="F10" s="69">
        <f>F11+F28</f>
        <v>55148127</v>
      </c>
      <c r="G10" s="69">
        <f>G11+G28</f>
        <v>58565288</v>
      </c>
      <c r="H10" s="70"/>
    </row>
    <row r="11" spans="1:8" s="4" customFormat="1" ht="15.75" x14ac:dyDescent="0.25">
      <c r="B11" s="4" t="s">
        <v>80</v>
      </c>
      <c r="D11" s="4" t="s">
        <v>81</v>
      </c>
      <c r="F11" s="71">
        <f>SUM(F12+F19+F26+F27)</f>
        <v>47780440</v>
      </c>
      <c r="G11" s="71">
        <f>SUM(G12+G19+G26+G27)</f>
        <v>49811951</v>
      </c>
      <c r="H11" s="29"/>
    </row>
    <row r="12" spans="1:8" s="10" customFormat="1" ht="15.75" x14ac:dyDescent="0.25">
      <c r="C12" s="4" t="s">
        <v>82</v>
      </c>
      <c r="D12" s="4" t="s">
        <v>83</v>
      </c>
      <c r="E12" s="4"/>
      <c r="F12" s="72">
        <f>SUM(F13:F18)</f>
        <v>10509160</v>
      </c>
      <c r="G12" s="72">
        <f>SUM(G13:G18)</f>
        <v>10344671</v>
      </c>
      <c r="H12" s="41"/>
    </row>
    <row r="13" spans="1:8" s="10" customFormat="1" ht="15.75" x14ac:dyDescent="0.25">
      <c r="C13" s="4"/>
      <c r="D13" s="4"/>
      <c r="E13" s="4" t="s">
        <v>84</v>
      </c>
      <c r="F13" s="73">
        <f>'2.bevétel'!F48</f>
        <v>4210060</v>
      </c>
      <c r="G13" s="73">
        <f>'2.bevétel'!G48</f>
        <v>4210060</v>
      </c>
      <c r="H13" s="41"/>
    </row>
    <row r="14" spans="1:8" s="10" customFormat="1" ht="15.75" x14ac:dyDescent="0.25">
      <c r="C14" s="4"/>
      <c r="D14" s="4"/>
      <c r="E14" s="4" t="s">
        <v>89</v>
      </c>
      <c r="F14" s="73">
        <f>'2.bevétel'!F53</f>
        <v>5000000</v>
      </c>
      <c r="G14" s="73">
        <f>'2.bevétel'!G53</f>
        <v>5000000</v>
      </c>
      <c r="H14" s="41"/>
    </row>
    <row r="15" spans="1:8" s="10" customFormat="1" ht="15.75" x14ac:dyDescent="0.25">
      <c r="C15" s="4"/>
      <c r="D15" s="4"/>
      <c r="E15" s="4" t="s">
        <v>90</v>
      </c>
      <c r="F15" s="73">
        <f>'2.bevétel'!F54</f>
        <v>91800</v>
      </c>
      <c r="G15" s="73">
        <f>'2.bevétel'!G54</f>
        <v>91800</v>
      </c>
      <c r="H15" s="41"/>
    </row>
    <row r="16" spans="1:8" s="10" customFormat="1" ht="15.75" x14ac:dyDescent="0.25">
      <c r="C16" s="4"/>
      <c r="D16" s="4"/>
      <c r="E16" s="4" t="s">
        <v>91</v>
      </c>
      <c r="F16" s="73">
        <f>'2.bevétel'!F55</f>
        <v>252800</v>
      </c>
      <c r="G16" s="73">
        <f>'2.bevétel'!G55</f>
        <v>88311</v>
      </c>
      <c r="H16" s="41"/>
    </row>
    <row r="17" spans="1:14" s="10" customFormat="1" ht="15.75" x14ac:dyDescent="0.25">
      <c r="C17" s="4"/>
      <c r="D17" s="4"/>
      <c r="E17" s="4" t="s">
        <v>92</v>
      </c>
      <c r="F17" s="73">
        <f>'2.bevétel'!F56</f>
        <v>954500</v>
      </c>
      <c r="G17" s="73">
        <f>'2.bevétel'!G56</f>
        <v>954500</v>
      </c>
      <c r="H17" s="41"/>
    </row>
    <row r="18" spans="1:14" s="10" customFormat="1" ht="15.75" x14ac:dyDescent="0.25">
      <c r="C18" s="4"/>
      <c r="D18" s="4"/>
      <c r="E18" s="4" t="s">
        <v>93</v>
      </c>
      <c r="F18" s="73">
        <f>'2.bevétel'!F57</f>
        <v>0</v>
      </c>
      <c r="G18" s="73">
        <f>'2.bevétel'!G57</f>
        <v>0</v>
      </c>
      <c r="H18" s="41"/>
    </row>
    <row r="19" spans="1:14" s="4" customFormat="1" ht="30.75" customHeight="1" x14ac:dyDescent="0.25">
      <c r="C19" s="4" t="s">
        <v>94</v>
      </c>
      <c r="D19" s="298" t="s">
        <v>95</v>
      </c>
      <c r="E19" s="298"/>
      <c r="F19" s="72">
        <f>SUM(F20+F21+F25+F24)</f>
        <v>35471280</v>
      </c>
      <c r="G19" s="72">
        <f>SUM(G20+G21+G25+G24)</f>
        <v>37467280</v>
      </c>
      <c r="H19" s="29"/>
    </row>
    <row r="20" spans="1:14" s="4" customFormat="1" ht="15" customHeight="1" x14ac:dyDescent="0.25">
      <c r="D20" s="46"/>
      <c r="E20" s="46" t="s">
        <v>96</v>
      </c>
      <c r="F20" s="74">
        <f>'2.bevétel'!F59</f>
        <v>4250000</v>
      </c>
      <c r="G20" s="74">
        <f>'2.bevétel'!G59</f>
        <v>4479000</v>
      </c>
      <c r="H20" s="29"/>
    </row>
    <row r="21" spans="1:14" s="4" customFormat="1" ht="15" customHeight="1" x14ac:dyDescent="0.25">
      <c r="D21" s="46"/>
      <c r="E21" s="46" t="s">
        <v>97</v>
      </c>
      <c r="F21" s="74">
        <f>SUM(F22:F23)</f>
        <v>27871280</v>
      </c>
      <c r="G21" s="74">
        <f>SUM(G22:G23)</f>
        <v>29638280</v>
      </c>
      <c r="H21" s="29"/>
    </row>
    <row r="22" spans="1:14" s="4" customFormat="1" ht="15" customHeight="1" x14ac:dyDescent="0.25">
      <c r="D22" s="46"/>
      <c r="E22" s="46" t="s">
        <v>98</v>
      </c>
      <c r="F22" s="74">
        <f>'2.bevétel'!F61</f>
        <v>27006280</v>
      </c>
      <c r="G22" s="74">
        <f>'2.bevétel'!G61</f>
        <v>29638280</v>
      </c>
      <c r="H22" s="29"/>
    </row>
    <row r="23" spans="1:14" s="4" customFormat="1" ht="15" customHeight="1" x14ac:dyDescent="0.25">
      <c r="D23" s="46"/>
      <c r="E23" s="46" t="s">
        <v>99</v>
      </c>
      <c r="F23" s="74">
        <f>'2.bevétel'!F62</f>
        <v>865000</v>
      </c>
      <c r="G23" s="74">
        <f>'2.bevétel'!G62</f>
        <v>0</v>
      </c>
      <c r="H23" s="29"/>
    </row>
    <row r="24" spans="1:14" s="4" customFormat="1" ht="15" customHeight="1" x14ac:dyDescent="0.25">
      <c r="D24" s="46"/>
      <c r="E24" s="46" t="s">
        <v>129</v>
      </c>
      <c r="F24" s="74">
        <f>'2.bevétel'!F63</f>
        <v>0</v>
      </c>
      <c r="G24" s="74">
        <f>'2.bevétel'!G63</f>
        <v>0</v>
      </c>
      <c r="H24" s="29"/>
    </row>
    <row r="25" spans="1:14" s="4" customFormat="1" ht="15" customHeight="1" x14ac:dyDescent="0.25">
      <c r="D25" s="46"/>
      <c r="E25" s="46" t="s">
        <v>101</v>
      </c>
      <c r="F25" s="74">
        <f>'2.bevétel'!F64</f>
        <v>3350000</v>
      </c>
      <c r="G25" s="74">
        <f>'2.bevétel'!G64</f>
        <v>3350000</v>
      </c>
      <c r="H25" s="29"/>
    </row>
    <row r="26" spans="1:14" s="4" customFormat="1" ht="15.75" x14ac:dyDescent="0.25">
      <c r="C26" s="4" t="s">
        <v>102</v>
      </c>
      <c r="D26" s="4" t="s">
        <v>103</v>
      </c>
      <c r="F26" s="72">
        <f>'2.bevétel'!F65</f>
        <v>1800000</v>
      </c>
      <c r="G26" s="72">
        <f>'2.bevétel'!G65</f>
        <v>2000000</v>
      </c>
      <c r="H26" s="29"/>
    </row>
    <row r="27" spans="1:14" s="4" customFormat="1" ht="15.75" x14ac:dyDescent="0.25">
      <c r="C27" s="4" t="s">
        <v>104</v>
      </c>
      <c r="D27" s="4" t="s">
        <v>105</v>
      </c>
      <c r="F27" s="72">
        <f>'2.bevétel'!F66</f>
        <v>0</v>
      </c>
      <c r="G27" s="72">
        <f>'2.bevétel'!G66</f>
        <v>0</v>
      </c>
      <c r="H27" s="29"/>
    </row>
    <row r="28" spans="1:14" s="4" customFormat="1" ht="15.75" x14ac:dyDescent="0.25">
      <c r="A28" s="14"/>
      <c r="B28" s="12" t="s">
        <v>106</v>
      </c>
      <c r="D28" s="4" t="s">
        <v>130</v>
      </c>
      <c r="E28" s="44"/>
      <c r="F28" s="72">
        <f>SUM(F29:F30)</f>
        <v>7367687</v>
      </c>
      <c r="G28" s="72">
        <f>SUM(G29:G30)</f>
        <v>8753337</v>
      </c>
      <c r="N28" s="75"/>
    </row>
    <row r="29" spans="1:14" s="4" customFormat="1" ht="15.75" x14ac:dyDescent="0.25">
      <c r="A29" s="14"/>
      <c r="E29" s="4" t="s">
        <v>108</v>
      </c>
      <c r="F29" s="73">
        <f>'2.bevétel'!F68</f>
        <v>4173887</v>
      </c>
      <c r="G29" s="73">
        <f>'2.bevétel'!G67</f>
        <v>5559537</v>
      </c>
      <c r="N29" s="75"/>
    </row>
    <row r="30" spans="1:14" s="4" customFormat="1" ht="15.75" x14ac:dyDescent="0.25">
      <c r="A30" s="14"/>
      <c r="E30" s="4" t="s">
        <v>108</v>
      </c>
      <c r="F30" s="73">
        <f>'2.bevétel'!F89</f>
        <v>3193800</v>
      </c>
      <c r="G30" s="73">
        <f>'2.bevétel'!G89</f>
        <v>3193800</v>
      </c>
      <c r="N30" s="75"/>
    </row>
    <row r="31" spans="1:14" s="10" customFormat="1" ht="15.75" x14ac:dyDescent="0.25">
      <c r="A31" s="10" t="s">
        <v>15</v>
      </c>
      <c r="B31" s="10" t="s">
        <v>16</v>
      </c>
      <c r="F31" s="76">
        <f>SUM(F32)</f>
        <v>0</v>
      </c>
      <c r="G31" s="76">
        <f>SUM(G32)</f>
        <v>7013517</v>
      </c>
      <c r="H31" s="41"/>
    </row>
    <row r="32" spans="1:14" s="4" customFormat="1" ht="15.75" x14ac:dyDescent="0.25">
      <c r="B32" s="4" t="s">
        <v>119</v>
      </c>
      <c r="D32" s="4" t="s">
        <v>115</v>
      </c>
      <c r="F32" s="73">
        <f>F33</f>
        <v>0</v>
      </c>
      <c r="G32" s="73">
        <f>G33</f>
        <v>7013517</v>
      </c>
      <c r="H32" s="29"/>
    </row>
    <row r="33" spans="1:8" s="4" customFormat="1" ht="15.75" x14ac:dyDescent="0.25">
      <c r="C33" s="4" t="s">
        <v>116</v>
      </c>
      <c r="D33" s="4" t="s">
        <v>117</v>
      </c>
      <c r="F33" s="73">
        <f>'2.bevétel'!F76</f>
        <v>0</v>
      </c>
      <c r="G33" s="73">
        <f>'2.bevétel'!G76</f>
        <v>7013517</v>
      </c>
      <c r="H33" s="29"/>
    </row>
    <row r="34" spans="1:8" s="10" customFormat="1" ht="15.75" x14ac:dyDescent="0.25">
      <c r="A34" s="10" t="s">
        <v>8</v>
      </c>
      <c r="B34" s="10" t="s">
        <v>9</v>
      </c>
      <c r="F34" s="77">
        <f>SUM(F35+F38+F45)</f>
        <v>8930000</v>
      </c>
      <c r="G34" s="77">
        <f>SUM(G35+G38+G45)</f>
        <v>6945611</v>
      </c>
      <c r="H34" s="41"/>
    </row>
    <row r="35" spans="1:8" s="4" customFormat="1" ht="15.75" x14ac:dyDescent="0.25">
      <c r="B35" s="4" t="s">
        <v>60</v>
      </c>
      <c r="D35" s="4" t="s">
        <v>61</v>
      </c>
      <c r="F35" s="72">
        <f>SUM(F36:F37)</f>
        <v>3700000</v>
      </c>
      <c r="G35" s="72">
        <f>SUM(G36:G37)</f>
        <v>3700000</v>
      </c>
      <c r="H35" s="29"/>
    </row>
    <row r="36" spans="1:8" s="4" customFormat="1" ht="15.75" x14ac:dyDescent="0.25">
      <c r="E36" s="4" t="s">
        <v>62</v>
      </c>
      <c r="F36" s="78">
        <f>'2.bevétel'!F30</f>
        <v>1800000</v>
      </c>
      <c r="G36" s="78">
        <f>'2.bevétel'!G30</f>
        <v>1800000</v>
      </c>
      <c r="H36" s="29"/>
    </row>
    <row r="37" spans="1:8" s="4" customFormat="1" ht="15.75" x14ac:dyDescent="0.25">
      <c r="A37" s="10"/>
      <c r="B37" s="10"/>
      <c r="C37" s="10"/>
      <c r="D37" s="10"/>
      <c r="E37" s="4" t="s">
        <v>63</v>
      </c>
      <c r="F37" s="78">
        <f>'2.bevétel'!F31</f>
        <v>1900000</v>
      </c>
      <c r="G37" s="78">
        <f>'2.bevétel'!G31</f>
        <v>1900000</v>
      </c>
      <c r="H37" s="29"/>
    </row>
    <row r="38" spans="1:8" s="4" customFormat="1" ht="15.75" x14ac:dyDescent="0.25">
      <c r="A38" s="10"/>
      <c r="B38" s="4" t="s">
        <v>64</v>
      </c>
      <c r="D38" s="4" t="s">
        <v>65</v>
      </c>
      <c r="F38" s="72">
        <f>SUM(F39+F41+F43)</f>
        <v>5200000</v>
      </c>
      <c r="G38" s="72">
        <f>SUM(G39+G41+G43)</f>
        <v>3118635</v>
      </c>
      <c r="H38" s="29"/>
    </row>
    <row r="39" spans="1:8" s="4" customFormat="1" ht="15.75" x14ac:dyDescent="0.25">
      <c r="A39" s="10"/>
      <c r="C39" s="4" t="s">
        <v>66</v>
      </c>
      <c r="D39" s="4" t="s">
        <v>67</v>
      </c>
      <c r="F39" s="73">
        <f>SUM(F40)</f>
        <v>4000000</v>
      </c>
      <c r="G39" s="73">
        <f>SUM(G40)</f>
        <v>3000000</v>
      </c>
      <c r="H39" s="29"/>
    </row>
    <row r="40" spans="1:8" s="4" customFormat="1" ht="15.75" x14ac:dyDescent="0.25">
      <c r="A40" s="10"/>
      <c r="E40" s="4" t="s">
        <v>68</v>
      </c>
      <c r="F40" s="78">
        <f>'2.bevétel'!F34</f>
        <v>4000000</v>
      </c>
      <c r="G40" s="78">
        <f>'2.bevétel'!G34</f>
        <v>3000000</v>
      </c>
      <c r="H40" s="29"/>
    </row>
    <row r="41" spans="1:8" s="4" customFormat="1" ht="15.75" x14ac:dyDescent="0.25">
      <c r="A41" s="10"/>
      <c r="C41" s="4" t="s">
        <v>69</v>
      </c>
      <c r="D41" s="4" t="s">
        <v>70</v>
      </c>
      <c r="F41" s="73">
        <f>SUM(F42)</f>
        <v>850000</v>
      </c>
      <c r="G41" s="73">
        <f>SUM(G42)</f>
        <v>54335</v>
      </c>
      <c r="H41" s="29"/>
    </row>
    <row r="42" spans="1:8" s="4" customFormat="1" ht="15.75" x14ac:dyDescent="0.25">
      <c r="A42" s="10"/>
      <c r="E42" s="4" t="s">
        <v>71</v>
      </c>
      <c r="F42" s="78">
        <f>'2.bevétel'!F36</f>
        <v>850000</v>
      </c>
      <c r="G42" s="78">
        <f>'2.bevétel'!G36</f>
        <v>54335</v>
      </c>
      <c r="H42" s="29"/>
    </row>
    <row r="43" spans="1:8" s="4" customFormat="1" ht="15.75" x14ac:dyDescent="0.25">
      <c r="A43" s="10"/>
      <c r="C43" s="4" t="s">
        <v>72</v>
      </c>
      <c r="D43" s="4" t="s">
        <v>73</v>
      </c>
      <c r="F43" s="73">
        <f>SUM(F44:F44)</f>
        <v>350000</v>
      </c>
      <c r="G43" s="73">
        <f>SUM(G44:G44)</f>
        <v>64300</v>
      </c>
      <c r="H43" s="29"/>
    </row>
    <row r="44" spans="1:8" s="4" customFormat="1" ht="15.75" x14ac:dyDescent="0.25">
      <c r="A44" s="10"/>
      <c r="E44" s="4" t="s">
        <v>74</v>
      </c>
      <c r="F44" s="78">
        <f>'2.bevétel'!F38</f>
        <v>350000</v>
      </c>
      <c r="G44" s="78">
        <f>'2.bevétel'!G38</f>
        <v>64300</v>
      </c>
      <c r="H44" s="29"/>
    </row>
    <row r="45" spans="1:8" s="4" customFormat="1" ht="15.75" x14ac:dyDescent="0.25">
      <c r="B45" s="4" t="s">
        <v>75</v>
      </c>
      <c r="D45" s="4" t="s">
        <v>76</v>
      </c>
      <c r="F45" s="73">
        <f>SUM(F46:F46)</f>
        <v>30000</v>
      </c>
      <c r="G45" s="73">
        <f>SUM(G46:G46)</f>
        <v>126976</v>
      </c>
      <c r="H45" s="29"/>
    </row>
    <row r="46" spans="1:8" s="4" customFormat="1" ht="15.75" x14ac:dyDescent="0.25">
      <c r="E46" s="4" t="s">
        <v>77</v>
      </c>
      <c r="F46" s="78">
        <f>'2.bevétel'!F40</f>
        <v>30000</v>
      </c>
      <c r="G46" s="78">
        <f>'2.bevétel'!G40</f>
        <v>126976</v>
      </c>
      <c r="H46" s="29"/>
    </row>
    <row r="47" spans="1:8" s="10" customFormat="1" ht="15.75" x14ac:dyDescent="0.25">
      <c r="A47" s="10" t="s">
        <v>10</v>
      </c>
      <c r="B47" s="10" t="s">
        <v>11</v>
      </c>
      <c r="F47" s="77">
        <f>SUM(F48:F51)</f>
        <v>971000</v>
      </c>
      <c r="G47" s="77">
        <f>SUM(G48:G51)</f>
        <v>941000</v>
      </c>
      <c r="H47" s="41"/>
    </row>
    <row r="48" spans="1:8" s="4" customFormat="1" ht="15.75" x14ac:dyDescent="0.25">
      <c r="C48" s="4" t="s">
        <v>42</v>
      </c>
      <c r="D48" s="4" t="s">
        <v>43</v>
      </c>
      <c r="F48" s="73">
        <f>'2.bevétel'!F11+'2.bevétel'!F17+'2.bevétel'!F43+'2.bevétel'!F92</f>
        <v>860000</v>
      </c>
      <c r="G48" s="73">
        <f>'2.bevétel'!G11+'2.bevétel'!G17+'2.bevétel'!G43+'2.bevétel'!G92</f>
        <v>830000</v>
      </c>
      <c r="H48" s="29"/>
    </row>
    <row r="49" spans="1:11" s="4" customFormat="1" ht="15.75" x14ac:dyDescent="0.25">
      <c r="C49" s="4" t="s">
        <v>46</v>
      </c>
      <c r="D49" s="4" t="s">
        <v>47</v>
      </c>
      <c r="F49" s="73">
        <f>'2.bevétel'!F18</f>
        <v>1000</v>
      </c>
      <c r="G49" s="73">
        <f>'2.bevétel'!G18</f>
        <v>1000</v>
      </c>
      <c r="H49" s="29"/>
    </row>
    <row r="50" spans="1:11" s="4" customFormat="1" ht="15.75" x14ac:dyDescent="0.25">
      <c r="C50" s="4" t="s">
        <v>48</v>
      </c>
      <c r="D50" s="4" t="s">
        <v>131</v>
      </c>
      <c r="F50" s="73">
        <f>'2.bevétel'!F19+'2.bevétel'!F84</f>
        <v>60000</v>
      </c>
      <c r="G50" s="73">
        <f>'2.bevétel'!G19+'2.bevétel'!G84</f>
        <v>60000</v>
      </c>
      <c r="H50" s="29"/>
    </row>
    <row r="51" spans="1:11" s="10" customFormat="1" ht="15.75" x14ac:dyDescent="0.25">
      <c r="C51" s="4" t="s">
        <v>120</v>
      </c>
      <c r="D51" s="4" t="s">
        <v>121</v>
      </c>
      <c r="E51" s="4"/>
      <c r="F51" s="45">
        <v>50000</v>
      </c>
      <c r="G51" s="45">
        <v>50000</v>
      </c>
      <c r="H51" s="40"/>
      <c r="I51" s="40"/>
      <c r="J51" s="40"/>
      <c r="K51" s="41"/>
    </row>
    <row r="52" spans="1:11" s="10" customFormat="1" ht="15.75" x14ac:dyDescent="0.25">
      <c r="A52" s="10" t="s">
        <v>349</v>
      </c>
      <c r="C52" s="4"/>
      <c r="D52" s="4"/>
      <c r="E52" s="4"/>
      <c r="F52" s="45">
        <v>0</v>
      </c>
      <c r="G52" s="45">
        <v>600000</v>
      </c>
      <c r="H52" s="40"/>
      <c r="I52" s="40"/>
      <c r="J52" s="40"/>
      <c r="K52" s="41"/>
    </row>
    <row r="53" spans="1:11" s="4" customFormat="1" ht="15.75" x14ac:dyDescent="0.25">
      <c r="A53" s="10" t="s">
        <v>12</v>
      </c>
      <c r="B53" s="10" t="s">
        <v>13</v>
      </c>
      <c r="C53" s="10"/>
      <c r="D53" s="10"/>
      <c r="E53" s="10"/>
      <c r="F53" s="79">
        <f>SUM(F54)</f>
        <v>55000</v>
      </c>
      <c r="G53" s="79">
        <f>SUM(G54)</f>
        <v>55000</v>
      </c>
      <c r="H53" s="38"/>
      <c r="I53" s="38"/>
      <c r="J53" s="38"/>
      <c r="K53" s="29"/>
    </row>
    <row r="54" spans="1:11" s="10" customFormat="1" ht="15.75" x14ac:dyDescent="0.25">
      <c r="A54" s="4"/>
      <c r="B54" s="4" t="s">
        <v>50</v>
      </c>
      <c r="C54" s="4"/>
      <c r="D54" s="4" t="s">
        <v>51</v>
      </c>
      <c r="E54" s="4"/>
      <c r="F54" s="73">
        <f>'2.bevétel'!F21+'2.bevétel'!F86</f>
        <v>55000</v>
      </c>
      <c r="G54" s="73">
        <f>'2.bevétel'!G21+'2.bevétel'!G86</f>
        <v>55000</v>
      </c>
      <c r="H54" s="41"/>
    </row>
    <row r="55" spans="1:11" s="4" customFormat="1" ht="15.75" x14ac:dyDescent="0.25">
      <c r="A55" s="10" t="s">
        <v>17</v>
      </c>
      <c r="B55" s="10" t="s">
        <v>18</v>
      </c>
      <c r="C55" s="10"/>
      <c r="D55" s="10"/>
      <c r="E55" s="14"/>
      <c r="F55" s="79">
        <f>SUM(F56)</f>
        <v>36403324</v>
      </c>
      <c r="G55" s="79">
        <f>SUM(G56)</f>
        <v>36403324</v>
      </c>
      <c r="H55" s="29"/>
    </row>
    <row r="56" spans="1:11" s="4" customFormat="1" ht="15.75" x14ac:dyDescent="0.25">
      <c r="B56" s="4" t="s">
        <v>53</v>
      </c>
      <c r="D56" s="4" t="s">
        <v>54</v>
      </c>
      <c r="F56" s="73">
        <f>SUM(F57:F58)</f>
        <v>36403324</v>
      </c>
      <c r="G56" s="73">
        <f>SUM(G57:G58)</f>
        <v>36403324</v>
      </c>
      <c r="H56" s="29"/>
    </row>
    <row r="57" spans="1:11" s="4" customFormat="1" ht="15.75" x14ac:dyDescent="0.25">
      <c r="C57" s="4" t="s">
        <v>55</v>
      </c>
      <c r="E57" s="4" t="s">
        <v>58</v>
      </c>
      <c r="F57" s="73">
        <f>'2.bevétel'!F25</f>
        <v>32503324</v>
      </c>
      <c r="G57" s="73">
        <f>'2.bevétel'!G25</f>
        <v>32503324</v>
      </c>
      <c r="H57" s="29"/>
    </row>
    <row r="58" spans="1:11" s="10" customFormat="1" ht="24.75" customHeight="1" x14ac:dyDescent="0.25">
      <c r="A58" s="4"/>
      <c r="B58" s="4"/>
      <c r="C58" s="4" t="s">
        <v>111</v>
      </c>
      <c r="D58" s="4" t="s">
        <v>112</v>
      </c>
      <c r="E58" s="12"/>
      <c r="F58" s="253">
        <f>'2.bevétel'!F72</f>
        <v>3900000</v>
      </c>
      <c r="G58" s="253">
        <f>'2.bevétel'!G72</f>
        <v>3900000</v>
      </c>
    </row>
    <row r="59" spans="1:11" s="81" customFormat="1" ht="26.45" customHeight="1" x14ac:dyDescent="0.25">
      <c r="A59" s="62" t="s">
        <v>132</v>
      </c>
      <c r="B59" s="63"/>
      <c r="C59" s="63"/>
      <c r="D59" s="63"/>
      <c r="E59" s="63"/>
      <c r="F59" s="252">
        <f>F55+F53+F47+F34+F10+F31</f>
        <v>101507451</v>
      </c>
      <c r="G59" s="252">
        <f>G55+G52+G53+G47+G34+G10+G31</f>
        <v>110523740</v>
      </c>
    </row>
    <row r="60" spans="1:11" s="81" customFormat="1" ht="17.25" customHeight="1" x14ac:dyDescent="0.2">
      <c r="F60" s="82"/>
      <c r="G60" s="82"/>
    </row>
    <row r="61" spans="1:11" s="81" customFormat="1" x14ac:dyDescent="0.2">
      <c r="F61" s="82"/>
      <c r="G61" s="82"/>
    </row>
    <row r="62" spans="1:11" s="81" customFormat="1" x14ac:dyDescent="0.2"/>
    <row r="63" spans="1:11" s="81" customFormat="1" x14ac:dyDescent="0.2"/>
    <row r="64" spans="1:11" s="81" customFormat="1" x14ac:dyDescent="0.2"/>
    <row r="65" spans="1:7" s="81" customFormat="1" x14ac:dyDescent="0.2"/>
    <row r="66" spans="1:7" s="81" customFormat="1" x14ac:dyDescent="0.2"/>
    <row r="67" spans="1:7" s="81" customFormat="1" x14ac:dyDescent="0.2"/>
    <row r="68" spans="1:7" s="81" customFormat="1" x14ac:dyDescent="0.2"/>
    <row r="69" spans="1:7" s="81" customFormat="1" x14ac:dyDescent="0.2"/>
    <row r="70" spans="1:7" x14ac:dyDescent="0.2">
      <c r="A70" s="81"/>
      <c r="B70" s="81"/>
      <c r="C70" s="81"/>
      <c r="D70" s="81"/>
      <c r="E70" s="81"/>
      <c r="F70" s="81"/>
      <c r="G70" s="81"/>
    </row>
  </sheetData>
  <sheetProtection selectLockedCells="1" selectUnlockedCells="1"/>
  <mergeCells count="8">
    <mergeCell ref="A1:G1"/>
    <mergeCell ref="A4:G4"/>
    <mergeCell ref="A5:G5"/>
    <mergeCell ref="A6:G6"/>
    <mergeCell ref="D19:E19"/>
    <mergeCell ref="A3:F3"/>
    <mergeCell ref="A8:E9"/>
    <mergeCell ref="A2:G2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view="pageBreakPreview" zoomScale="120" zoomScaleNormal="120" zoomScaleSheetLayoutView="120" workbookViewId="0">
      <selection sqref="A1:E1"/>
    </sheetView>
  </sheetViews>
  <sheetFormatPr defaultColWidth="9.140625" defaultRowHeight="12.75" x14ac:dyDescent="0.2"/>
  <cols>
    <col min="1" max="1" width="90.42578125" style="83" customWidth="1"/>
    <col min="2" max="2" width="14.5703125" style="83" customWidth="1"/>
    <col min="3" max="3" width="13.7109375" style="83" customWidth="1"/>
    <col min="4" max="4" width="15.5703125" style="83" customWidth="1"/>
    <col min="5" max="5" width="14.5703125" style="83" customWidth="1"/>
    <col min="6" max="16384" width="9.140625" style="83"/>
  </cols>
  <sheetData>
    <row r="1" spans="1:7" ht="15.75" x14ac:dyDescent="0.25">
      <c r="A1" s="293" t="s">
        <v>368</v>
      </c>
      <c r="B1" s="294"/>
      <c r="C1" s="294"/>
      <c r="D1" s="294"/>
      <c r="E1" s="294"/>
      <c r="F1" s="254"/>
      <c r="G1" s="182"/>
    </row>
    <row r="2" spans="1:7" s="84" customFormat="1" ht="15.75" x14ac:dyDescent="0.25">
      <c r="A2" s="293" t="s">
        <v>355</v>
      </c>
      <c r="B2" s="294"/>
      <c r="C2" s="294"/>
      <c r="D2" s="294"/>
      <c r="E2" s="294"/>
      <c r="F2" s="182"/>
      <c r="G2" s="182"/>
    </row>
    <row r="3" spans="1:7" s="84" customFormat="1" ht="24" customHeight="1" x14ac:dyDescent="0.25">
      <c r="A3" s="301" t="s">
        <v>0</v>
      </c>
      <c r="B3" s="301"/>
      <c r="C3" s="301"/>
      <c r="D3" s="301"/>
      <c r="E3" s="301"/>
    </row>
    <row r="4" spans="1:7" s="84" customFormat="1" ht="23.25" customHeight="1" x14ac:dyDescent="0.25">
      <c r="A4" s="301" t="s">
        <v>133</v>
      </c>
      <c r="B4" s="301"/>
      <c r="C4" s="301"/>
      <c r="D4" s="301"/>
      <c r="E4" s="301"/>
    </row>
    <row r="5" spans="1:7" s="86" customFormat="1" ht="14.25" customHeight="1" x14ac:dyDescent="0.25">
      <c r="A5" s="85"/>
      <c r="B5" s="85"/>
      <c r="C5" s="85"/>
      <c r="D5" s="85"/>
      <c r="E5" s="85"/>
    </row>
    <row r="6" spans="1:7" s="84" customFormat="1" ht="46.9" customHeight="1" x14ac:dyDescent="0.2">
      <c r="A6" s="87" t="s">
        <v>134</v>
      </c>
      <c r="B6" s="88" t="s">
        <v>135</v>
      </c>
      <c r="C6" s="88" t="s">
        <v>136</v>
      </c>
      <c r="D6" s="88" t="s">
        <v>137</v>
      </c>
      <c r="E6" s="88" t="s">
        <v>138</v>
      </c>
    </row>
    <row r="7" spans="1:7" s="84" customFormat="1" ht="15.75" x14ac:dyDescent="0.25">
      <c r="A7" s="89" t="s">
        <v>41</v>
      </c>
      <c r="B7" s="90">
        <f>'2.bevétel'!G9</f>
        <v>1200000</v>
      </c>
      <c r="C7" s="91">
        <v>0</v>
      </c>
      <c r="D7" s="91">
        <v>0</v>
      </c>
      <c r="E7" s="92">
        <f t="shared" ref="E7:E18" si="0">SUM(B7:D7)</f>
        <v>1200000</v>
      </c>
    </row>
    <row r="8" spans="1:7" s="84" customFormat="1" ht="15.75" x14ac:dyDescent="0.25">
      <c r="A8" s="93" t="s">
        <v>139</v>
      </c>
      <c r="B8" s="92">
        <f>'2.bevétel'!G15</f>
        <v>46000</v>
      </c>
      <c r="C8" s="92">
        <v>0</v>
      </c>
      <c r="D8" s="92">
        <v>0</v>
      </c>
      <c r="E8" s="92">
        <f t="shared" si="0"/>
        <v>46000</v>
      </c>
    </row>
    <row r="9" spans="1:7" s="84" customFormat="1" ht="15.75" x14ac:dyDescent="0.25">
      <c r="A9" s="89" t="s">
        <v>52</v>
      </c>
      <c r="B9" s="92">
        <f>'2.bevétel'!G22</f>
        <v>32503324</v>
      </c>
      <c r="C9" s="92">
        <v>0</v>
      </c>
      <c r="D9" s="92">
        <v>0</v>
      </c>
      <c r="E9" s="92">
        <f t="shared" si="0"/>
        <v>32503324</v>
      </c>
    </row>
    <row r="10" spans="1:7" s="84" customFormat="1" ht="15.75" x14ac:dyDescent="0.25">
      <c r="A10" s="89" t="s">
        <v>59</v>
      </c>
      <c r="B10" s="92">
        <f>'2.bevétel'!G27</f>
        <v>6945611</v>
      </c>
      <c r="C10" s="92">
        <v>0</v>
      </c>
      <c r="D10" s="92">
        <v>0</v>
      </c>
      <c r="E10" s="92">
        <f t="shared" si="0"/>
        <v>6945611</v>
      </c>
    </row>
    <row r="11" spans="1:7" s="84" customFormat="1" ht="15.75" x14ac:dyDescent="0.25">
      <c r="A11" s="89" t="s">
        <v>78</v>
      </c>
      <c r="B11" s="92">
        <f>'2.bevétel'!G41</f>
        <v>100000</v>
      </c>
      <c r="C11" s="92">
        <v>0</v>
      </c>
      <c r="D11" s="92">
        <v>0</v>
      </c>
      <c r="E11" s="92">
        <f t="shared" si="0"/>
        <v>100000</v>
      </c>
    </row>
    <row r="12" spans="1:7" s="84" customFormat="1" ht="15.75" x14ac:dyDescent="0.25">
      <c r="A12" s="93" t="s">
        <v>140</v>
      </c>
      <c r="B12" s="92">
        <f>'2.bevétel'!G79</f>
        <v>150000</v>
      </c>
      <c r="C12" s="92">
        <v>0</v>
      </c>
      <c r="D12" s="92">
        <v>0</v>
      </c>
      <c r="E12" s="92">
        <f t="shared" si="0"/>
        <v>150000</v>
      </c>
    </row>
    <row r="13" spans="1:7" s="84" customFormat="1" ht="15.75" x14ac:dyDescent="0.25">
      <c r="A13" s="89" t="s">
        <v>79</v>
      </c>
      <c r="B13" s="92">
        <f>'2.bevétel'!G44</f>
        <v>55371488</v>
      </c>
      <c r="C13" s="92">
        <v>0</v>
      </c>
      <c r="D13" s="92">
        <v>0</v>
      </c>
      <c r="E13" s="92">
        <f t="shared" si="0"/>
        <v>55371488</v>
      </c>
    </row>
    <row r="14" spans="1:7" s="84" customFormat="1" ht="15.75" x14ac:dyDescent="0.25">
      <c r="A14" s="89" t="s">
        <v>109</v>
      </c>
      <c r="B14" s="92">
        <f>'2.bevétel'!G70</f>
        <v>3900000</v>
      </c>
      <c r="C14" s="92">
        <v>0</v>
      </c>
      <c r="D14" s="92">
        <v>0</v>
      </c>
      <c r="E14" s="92">
        <f t="shared" si="0"/>
        <v>3900000</v>
      </c>
    </row>
    <row r="15" spans="1:7" s="84" customFormat="1" ht="15.75" x14ac:dyDescent="0.25">
      <c r="A15" s="89" t="s">
        <v>122</v>
      </c>
      <c r="B15" s="92">
        <f>'2.bevétel'!G87+'11.Idősek Otthona bevétel'!G23</f>
        <v>4258400</v>
      </c>
      <c r="C15" s="92">
        <v>0</v>
      </c>
      <c r="D15" s="92">
        <v>0</v>
      </c>
      <c r="E15" s="92">
        <f t="shared" si="0"/>
        <v>4258400</v>
      </c>
    </row>
    <row r="16" spans="1:7" s="84" customFormat="1" ht="15.75" x14ac:dyDescent="0.25">
      <c r="A16" s="89" t="s">
        <v>141</v>
      </c>
      <c r="B16" s="92">
        <v>0</v>
      </c>
      <c r="C16" s="92">
        <f>'11.Idősek Otthona bevétel'!G9+'11.Idősek Otthona bevétel'!G29</f>
        <v>27874649</v>
      </c>
      <c r="D16" s="92">
        <v>0</v>
      </c>
      <c r="E16" s="92">
        <f t="shared" si="0"/>
        <v>27874649</v>
      </c>
    </row>
    <row r="17" spans="1:5" s="96" customFormat="1" ht="15.75" x14ac:dyDescent="0.25">
      <c r="A17" s="94" t="s">
        <v>123</v>
      </c>
      <c r="B17" s="95"/>
      <c r="C17" s="95">
        <f>'2.bevétel'!G90</f>
        <v>100000</v>
      </c>
      <c r="D17" s="46">
        <v>0</v>
      </c>
      <c r="E17" s="92">
        <f t="shared" si="0"/>
        <v>100000</v>
      </c>
    </row>
    <row r="18" spans="1:5" s="96" customFormat="1" ht="15.75" x14ac:dyDescent="0.25">
      <c r="A18" s="94" t="s">
        <v>113</v>
      </c>
      <c r="B18" s="95">
        <f>'2.bevétel'!G73</f>
        <v>7013517</v>
      </c>
      <c r="C18" s="95"/>
      <c r="D18" s="46"/>
      <c r="E18" s="92">
        <f t="shared" si="0"/>
        <v>7013517</v>
      </c>
    </row>
    <row r="19" spans="1:5" s="84" customFormat="1" ht="21.2" customHeight="1" x14ac:dyDescent="0.25">
      <c r="A19" s="97" t="s">
        <v>142</v>
      </c>
      <c r="B19" s="98">
        <f>SUM(B7:B18)</f>
        <v>111488340</v>
      </c>
      <c r="C19" s="98">
        <f>SUM(C7:C18)</f>
        <v>27974649</v>
      </c>
      <c r="D19" s="98">
        <f>SUM(D8:D15)</f>
        <v>0</v>
      </c>
      <c r="E19" s="98">
        <f>SUM(E7:E18)</f>
        <v>139462989</v>
      </c>
    </row>
    <row r="20" spans="1:5" s="84" customFormat="1" x14ac:dyDescent="0.2">
      <c r="E20" s="99"/>
    </row>
    <row r="21" spans="1:5" s="84" customFormat="1" x14ac:dyDescent="0.2">
      <c r="B21" s="100"/>
      <c r="C21" s="100"/>
    </row>
    <row r="22" spans="1:5" s="84" customFormat="1" x14ac:dyDescent="0.2">
      <c r="C22" s="100"/>
    </row>
  </sheetData>
  <sheetProtection selectLockedCells="1" selectUnlockedCells="1"/>
  <mergeCells count="4">
    <mergeCell ref="A1:E1"/>
    <mergeCell ref="A2:E2"/>
    <mergeCell ref="A3:E3"/>
    <mergeCell ref="A4:E4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1"/>
  <sheetViews>
    <sheetView view="pageBreakPreview" zoomScale="110" zoomScaleNormal="110" zoomScaleSheetLayoutView="110" workbookViewId="0">
      <selection sqref="A1:I1"/>
    </sheetView>
  </sheetViews>
  <sheetFormatPr defaultColWidth="9.140625" defaultRowHeight="15.75" x14ac:dyDescent="0.25"/>
  <cols>
    <col min="1" max="1" width="4.140625" style="4" customWidth="1"/>
    <col min="2" max="2" width="4.85546875" style="12" customWidth="1"/>
    <col min="3" max="3" width="9" style="12" customWidth="1"/>
    <col min="4" max="5" width="2.140625" style="12" customWidth="1"/>
    <col min="6" max="6" width="61.42578125" style="12" customWidth="1"/>
    <col min="7" max="7" width="9.140625" style="12" customWidth="1"/>
    <col min="8" max="8" width="20.85546875" style="12" customWidth="1"/>
    <col min="9" max="9" width="20.28515625" style="12" customWidth="1"/>
    <col min="10" max="10" width="13.42578125" style="4" customWidth="1"/>
    <col min="11" max="16384" width="9.140625" style="4"/>
  </cols>
  <sheetData>
    <row r="1" spans="1:9" x14ac:dyDescent="0.25">
      <c r="A1" s="290" t="s">
        <v>369</v>
      </c>
      <c r="B1" s="299"/>
      <c r="C1" s="299"/>
      <c r="D1" s="299"/>
      <c r="E1" s="299"/>
      <c r="F1" s="299"/>
      <c r="G1" s="299"/>
      <c r="H1" s="299"/>
      <c r="I1" s="299"/>
    </row>
    <row r="2" spans="1:9" x14ac:dyDescent="0.25">
      <c r="A2" s="293" t="s">
        <v>356</v>
      </c>
      <c r="B2" s="293"/>
      <c r="C2" s="293"/>
      <c r="D2" s="293"/>
      <c r="E2" s="293"/>
      <c r="F2" s="293"/>
      <c r="G2" s="293"/>
      <c r="H2" s="293"/>
      <c r="I2" s="299"/>
    </row>
    <row r="3" spans="1:9" s="28" customFormat="1" ht="16.149999999999999" customHeight="1" x14ac:dyDescent="0.25">
      <c r="A3" s="101"/>
      <c r="B3" s="101"/>
      <c r="C3" s="101"/>
      <c r="D3" s="101"/>
      <c r="E3" s="101"/>
      <c r="F3" s="101"/>
      <c r="G3" s="101"/>
      <c r="H3" s="102"/>
      <c r="I3" s="102"/>
    </row>
    <row r="4" spans="1:9" ht="21.75" customHeight="1" x14ac:dyDescent="0.25">
      <c r="A4" s="291" t="s">
        <v>0</v>
      </c>
      <c r="B4" s="291"/>
      <c r="C4" s="291"/>
      <c r="D4" s="291"/>
      <c r="E4" s="291"/>
      <c r="F4" s="291"/>
      <c r="G4" s="291"/>
      <c r="H4" s="292"/>
      <c r="I4" s="292"/>
    </row>
    <row r="5" spans="1:9" ht="21.75" customHeight="1" x14ac:dyDescent="0.25">
      <c r="A5" s="291" t="s">
        <v>143</v>
      </c>
      <c r="B5" s="291"/>
      <c r="C5" s="291"/>
      <c r="D5" s="291"/>
      <c r="E5" s="291"/>
      <c r="F5" s="291"/>
      <c r="G5" s="291"/>
      <c r="H5" s="292"/>
      <c r="I5" s="292"/>
    </row>
    <row r="6" spans="1:9" ht="18.75" customHeight="1" x14ac:dyDescent="0.25">
      <c r="A6" s="296" t="s">
        <v>144</v>
      </c>
      <c r="B6" s="296"/>
      <c r="C6" s="296"/>
      <c r="D6" s="296"/>
      <c r="E6" s="296"/>
      <c r="F6" s="296"/>
      <c r="G6" s="296"/>
      <c r="H6" s="303"/>
      <c r="I6" s="303"/>
    </row>
    <row r="7" spans="1:9" s="7" customFormat="1" ht="18.75" customHeight="1" x14ac:dyDescent="0.25">
      <c r="A7" s="66"/>
      <c r="B7" s="66"/>
      <c r="C7" s="66"/>
      <c r="D7" s="66"/>
      <c r="E7" s="66"/>
      <c r="F7" s="66"/>
      <c r="G7" s="66"/>
      <c r="H7" s="38"/>
      <c r="I7" s="38"/>
    </row>
    <row r="8" spans="1:9" ht="27.75" customHeight="1" x14ac:dyDescent="0.25">
      <c r="A8" s="307" t="s">
        <v>40</v>
      </c>
      <c r="B8" s="307"/>
      <c r="C8" s="307"/>
      <c r="D8" s="307"/>
      <c r="E8" s="307"/>
      <c r="F8" s="307"/>
      <c r="G8" s="307" t="s">
        <v>145</v>
      </c>
      <c r="H8" s="31" t="s">
        <v>127</v>
      </c>
      <c r="I8" s="31" t="s">
        <v>127</v>
      </c>
    </row>
    <row r="9" spans="1:9" s="10" customFormat="1" ht="22.5" customHeight="1" x14ac:dyDescent="0.25">
      <c r="A9" s="307"/>
      <c r="B9" s="307"/>
      <c r="C9" s="307"/>
      <c r="D9" s="307"/>
      <c r="E9" s="307"/>
      <c r="F9" s="307"/>
      <c r="G9" s="307"/>
      <c r="H9" s="31" t="s">
        <v>4</v>
      </c>
      <c r="I9" s="31" t="s">
        <v>128</v>
      </c>
    </row>
    <row r="10" spans="1:9" ht="32.25" customHeight="1" x14ac:dyDescent="0.25">
      <c r="A10" s="304" t="s">
        <v>45</v>
      </c>
      <c r="B10" s="304"/>
      <c r="C10" s="304"/>
      <c r="D10" s="304"/>
      <c r="E10" s="304"/>
      <c r="F10" s="304"/>
      <c r="G10" s="104" t="s">
        <v>146</v>
      </c>
      <c r="H10" s="105">
        <f>SUM(H11+H20+H22+H41)</f>
        <v>25157624</v>
      </c>
      <c r="I10" s="105">
        <f>SUM(I11+I20+I22+I41)</f>
        <v>19809738</v>
      </c>
    </row>
    <row r="11" spans="1:9" s="10" customFormat="1" x14ac:dyDescent="0.25">
      <c r="A11" s="10" t="s">
        <v>21</v>
      </c>
      <c r="B11" s="14" t="s">
        <v>147</v>
      </c>
      <c r="C11" s="14"/>
      <c r="D11" s="14"/>
      <c r="E11" s="14"/>
      <c r="F11" s="106"/>
      <c r="G11" s="106"/>
      <c r="H11" s="107">
        <f>SUM(H12+H17)</f>
        <v>7081344</v>
      </c>
      <c r="I11" s="107">
        <f>SUM(I12+I17)</f>
        <v>7081344</v>
      </c>
    </row>
    <row r="12" spans="1:9" x14ac:dyDescent="0.25">
      <c r="B12" s="12" t="s">
        <v>148</v>
      </c>
      <c r="D12" s="12" t="s">
        <v>149</v>
      </c>
      <c r="F12" s="108"/>
      <c r="G12" s="108"/>
      <c r="H12" s="109">
        <f>SUM(H13:H16)</f>
        <v>2677200</v>
      </c>
      <c r="I12" s="111">
        <f>SUM(I13:I16)</f>
        <v>2677200</v>
      </c>
    </row>
    <row r="13" spans="1:9" x14ac:dyDescent="0.25">
      <c r="C13" s="12" t="s">
        <v>150</v>
      </c>
      <c r="D13" s="12" t="s">
        <v>151</v>
      </c>
      <c r="F13" s="108"/>
      <c r="G13" s="108"/>
      <c r="H13" s="110">
        <v>2527200</v>
      </c>
      <c r="I13" s="110">
        <v>2527200</v>
      </c>
    </row>
    <row r="14" spans="1:9" x14ac:dyDescent="0.25">
      <c r="C14" s="12" t="s">
        <v>152</v>
      </c>
      <c r="D14" s="12" t="s">
        <v>153</v>
      </c>
      <c r="F14" s="108"/>
      <c r="G14" s="108"/>
      <c r="H14" s="110">
        <v>50000</v>
      </c>
      <c r="I14" s="110">
        <v>50000</v>
      </c>
    </row>
    <row r="15" spans="1:9" x14ac:dyDescent="0.25">
      <c r="C15" s="12" t="s">
        <v>154</v>
      </c>
      <c r="D15" s="12" t="s">
        <v>155</v>
      </c>
      <c r="F15" s="108"/>
      <c r="G15" s="108"/>
      <c r="H15" s="110">
        <v>50000</v>
      </c>
      <c r="I15" s="110">
        <v>50000</v>
      </c>
    </row>
    <row r="16" spans="1:9" x14ac:dyDescent="0.25">
      <c r="C16" s="12" t="s">
        <v>156</v>
      </c>
      <c r="D16" s="12" t="s">
        <v>157</v>
      </c>
      <c r="F16" s="108"/>
      <c r="G16" s="108"/>
      <c r="H16" s="110">
        <v>50000</v>
      </c>
      <c r="I16" s="110">
        <v>50000</v>
      </c>
    </row>
    <row r="17" spans="1:10" x14ac:dyDescent="0.25">
      <c r="B17" s="12" t="s">
        <v>158</v>
      </c>
      <c r="D17" s="12" t="s">
        <v>159</v>
      </c>
      <c r="F17" s="108"/>
      <c r="G17" s="108"/>
      <c r="H17" s="111">
        <f>SUM(H18:H19)</f>
        <v>4404144</v>
      </c>
      <c r="I17" s="111">
        <f>SUM(I18:I19)</f>
        <v>4404144</v>
      </c>
    </row>
    <row r="18" spans="1:10" x14ac:dyDescent="0.25">
      <c r="C18" s="12" t="s">
        <v>160</v>
      </c>
      <c r="D18" s="12" t="s">
        <v>161</v>
      </c>
      <c r="F18" s="108"/>
      <c r="G18" s="108"/>
      <c r="H18" s="110">
        <f>1794912+269232</f>
        <v>2064144</v>
      </c>
      <c r="I18" s="110">
        <f>1794912+269232</f>
        <v>2064144</v>
      </c>
    </row>
    <row r="19" spans="1:10" x14ac:dyDescent="0.25">
      <c r="C19" s="12" t="s">
        <v>160</v>
      </c>
      <c r="D19" s="12" t="s">
        <v>162</v>
      </c>
      <c r="F19" s="108"/>
      <c r="G19" s="108"/>
      <c r="H19" s="110">
        <f>480000*3+900000</f>
        <v>2340000</v>
      </c>
      <c r="I19" s="110">
        <f>480000*3+900000</f>
        <v>2340000</v>
      </c>
    </row>
    <row r="20" spans="1:10" s="10" customFormat="1" ht="15.75" customHeight="1" x14ac:dyDescent="0.25">
      <c r="A20" s="10" t="s">
        <v>23</v>
      </c>
      <c r="B20" s="10" t="s">
        <v>163</v>
      </c>
      <c r="F20" s="112"/>
      <c r="G20" s="113"/>
      <c r="H20" s="107">
        <f>SUM(H21)</f>
        <v>1250110</v>
      </c>
      <c r="I20" s="107">
        <f>SUM(I21)</f>
        <v>1250110</v>
      </c>
    </row>
    <row r="21" spans="1:10" x14ac:dyDescent="0.25">
      <c r="D21" s="12" t="s">
        <v>164</v>
      </c>
      <c r="F21" s="108"/>
      <c r="G21" s="108"/>
      <c r="H21" s="114">
        <f>794350+442260+13500</f>
        <v>1250110</v>
      </c>
      <c r="I21" s="110">
        <f>794350+442260+13500</f>
        <v>1250110</v>
      </c>
      <c r="J21" s="4" t="s">
        <v>110</v>
      </c>
    </row>
    <row r="22" spans="1:10" s="10" customFormat="1" x14ac:dyDescent="0.25">
      <c r="A22" s="10" t="s">
        <v>25</v>
      </c>
      <c r="B22" s="10" t="s">
        <v>26</v>
      </c>
      <c r="F22" s="112"/>
      <c r="G22" s="106"/>
      <c r="H22" s="107">
        <f>SUM(H23+H27+H30+H35+H37)</f>
        <v>3132000</v>
      </c>
      <c r="I22" s="107">
        <f>SUM(I23+I27+I30+I35+I37)</f>
        <v>2882000</v>
      </c>
    </row>
    <row r="23" spans="1:10" x14ac:dyDescent="0.25">
      <c r="B23" s="12" t="s">
        <v>165</v>
      </c>
      <c r="D23" s="12" t="s">
        <v>166</v>
      </c>
      <c r="F23" s="115"/>
      <c r="G23" s="115"/>
      <c r="H23" s="111">
        <f>SUM(H24+H26)</f>
        <v>370000</v>
      </c>
      <c r="I23" s="111">
        <f>SUM(I24+I26)</f>
        <v>370000</v>
      </c>
    </row>
    <row r="24" spans="1:10" x14ac:dyDescent="0.25">
      <c r="C24" s="12" t="s">
        <v>167</v>
      </c>
      <c r="D24" s="12" t="s">
        <v>168</v>
      </c>
      <c r="F24" s="115"/>
      <c r="G24" s="115"/>
      <c r="H24" s="110">
        <f>SUM(H25)</f>
        <v>50000</v>
      </c>
      <c r="I24" s="110">
        <f>SUM(I25)</f>
        <v>50000</v>
      </c>
    </row>
    <row r="25" spans="1:10" x14ac:dyDescent="0.25">
      <c r="F25" s="115" t="s">
        <v>169</v>
      </c>
      <c r="G25" s="115"/>
      <c r="H25" s="110">
        <v>50000</v>
      </c>
      <c r="I25" s="110">
        <v>50000</v>
      </c>
    </row>
    <row r="26" spans="1:10" x14ac:dyDescent="0.25">
      <c r="C26" s="12" t="s">
        <v>170</v>
      </c>
      <c r="D26" s="12" t="s">
        <v>171</v>
      </c>
      <c r="F26" s="108"/>
      <c r="G26" s="108"/>
      <c r="H26" s="110">
        <v>320000</v>
      </c>
      <c r="I26" s="110">
        <v>320000</v>
      </c>
    </row>
    <row r="27" spans="1:10" x14ac:dyDescent="0.25">
      <c r="B27" s="12" t="s">
        <v>172</v>
      </c>
      <c r="D27" s="12" t="s">
        <v>173</v>
      </c>
      <c r="F27" s="108"/>
      <c r="G27" s="108"/>
      <c r="H27" s="111">
        <f>SUM(H28+H29)</f>
        <v>500000</v>
      </c>
      <c r="I27" s="111">
        <f>SUM(I28+I29)</f>
        <v>650000</v>
      </c>
    </row>
    <row r="28" spans="1:10" x14ac:dyDescent="0.25">
      <c r="C28" s="12" t="s">
        <v>174</v>
      </c>
      <c r="D28" s="12" t="s">
        <v>175</v>
      </c>
      <c r="F28" s="108"/>
      <c r="G28" s="108"/>
      <c r="H28" s="110">
        <v>400000</v>
      </c>
      <c r="I28" s="110">
        <v>500000</v>
      </c>
    </row>
    <row r="29" spans="1:10" x14ac:dyDescent="0.25">
      <c r="C29" s="12" t="s">
        <v>176</v>
      </c>
      <c r="D29" s="12" t="s">
        <v>177</v>
      </c>
      <c r="F29" s="108"/>
      <c r="G29" s="108"/>
      <c r="H29" s="110">
        <v>100000</v>
      </c>
      <c r="I29" s="110">
        <v>150000</v>
      </c>
    </row>
    <row r="30" spans="1:10" x14ac:dyDescent="0.25">
      <c r="B30" s="12" t="s">
        <v>178</v>
      </c>
      <c r="D30" s="12" t="s">
        <v>179</v>
      </c>
      <c r="F30" s="108"/>
      <c r="G30" s="108"/>
      <c r="H30" s="111">
        <f>SUM(H31+H32+H33)</f>
        <v>1900000</v>
      </c>
      <c r="I30" s="111">
        <f>SUM(I31+I32+I33)</f>
        <v>1500000</v>
      </c>
    </row>
    <row r="31" spans="1:10" x14ac:dyDescent="0.25">
      <c r="C31" s="12" t="s">
        <v>180</v>
      </c>
      <c r="D31" s="12" t="s">
        <v>181</v>
      </c>
      <c r="F31" s="108"/>
      <c r="G31" s="108"/>
      <c r="H31" s="110">
        <v>400000</v>
      </c>
      <c r="I31" s="110">
        <v>400000</v>
      </c>
    </row>
    <row r="32" spans="1:10" x14ac:dyDescent="0.25">
      <c r="C32" s="12" t="s">
        <v>182</v>
      </c>
      <c r="D32" s="12" t="s">
        <v>183</v>
      </c>
      <c r="F32" s="108"/>
      <c r="G32" s="108"/>
      <c r="H32" s="114">
        <v>900000</v>
      </c>
      <c r="I32" s="110">
        <v>500000</v>
      </c>
    </row>
    <row r="33" spans="1:10" x14ac:dyDescent="0.25">
      <c r="C33" s="12" t="s">
        <v>184</v>
      </c>
      <c r="D33" s="12" t="s">
        <v>185</v>
      </c>
      <c r="F33" s="108"/>
      <c r="G33" s="108"/>
      <c r="H33" s="110">
        <v>600000</v>
      </c>
      <c r="I33" s="110">
        <v>600000</v>
      </c>
    </row>
    <row r="34" spans="1:10" x14ac:dyDescent="0.25">
      <c r="F34" s="108" t="s">
        <v>186</v>
      </c>
      <c r="G34" s="108"/>
      <c r="H34" s="116">
        <v>100000</v>
      </c>
      <c r="I34" s="116">
        <v>100000</v>
      </c>
    </row>
    <row r="35" spans="1:10" x14ac:dyDescent="0.25">
      <c r="B35" s="12" t="s">
        <v>187</v>
      </c>
      <c r="D35" s="12" t="s">
        <v>188</v>
      </c>
      <c r="E35" s="108"/>
      <c r="F35" s="108"/>
      <c r="G35" s="71"/>
      <c r="H35" s="117">
        <f>H36</f>
        <v>100000</v>
      </c>
      <c r="I35" s="117">
        <f>I36</f>
        <v>100000</v>
      </c>
    </row>
    <row r="36" spans="1:10" x14ac:dyDescent="0.25">
      <c r="C36" s="12" t="s">
        <v>189</v>
      </c>
      <c r="D36" s="12" t="s">
        <v>190</v>
      </c>
      <c r="E36" s="108"/>
      <c r="F36" s="108"/>
      <c r="G36" s="73"/>
      <c r="H36" s="118">
        <v>100000</v>
      </c>
      <c r="I36" s="287">
        <v>100000</v>
      </c>
    </row>
    <row r="37" spans="1:10" x14ac:dyDescent="0.25">
      <c r="B37" s="12" t="s">
        <v>191</v>
      </c>
      <c r="D37" s="12" t="s">
        <v>192</v>
      </c>
      <c r="F37" s="108"/>
      <c r="G37" s="108"/>
      <c r="H37" s="72">
        <f>SUM(H38:H40)</f>
        <v>262000</v>
      </c>
      <c r="I37" s="72">
        <f>SUM(I38:I40)</f>
        <v>262000</v>
      </c>
    </row>
    <row r="38" spans="1:10" x14ac:dyDescent="0.25">
      <c r="C38" s="12" t="s">
        <v>193</v>
      </c>
      <c r="D38" s="12" t="s">
        <v>194</v>
      </c>
      <c r="F38" s="108"/>
      <c r="G38" s="108"/>
      <c r="H38" s="110">
        <v>250000</v>
      </c>
      <c r="I38" s="110">
        <v>250000</v>
      </c>
    </row>
    <row r="39" spans="1:10" x14ac:dyDescent="0.25">
      <c r="C39" s="12" t="s">
        <v>195</v>
      </c>
      <c r="D39" s="12" t="s">
        <v>196</v>
      </c>
      <c r="F39" s="108"/>
      <c r="G39" s="108"/>
      <c r="H39" s="114">
        <v>2000</v>
      </c>
      <c r="I39" s="110">
        <v>2000</v>
      </c>
    </row>
    <row r="40" spans="1:10" x14ac:dyDescent="0.25">
      <c r="C40" s="12" t="s">
        <v>197</v>
      </c>
      <c r="D40" s="12" t="s">
        <v>198</v>
      </c>
      <c r="F40" s="108"/>
      <c r="G40" s="108"/>
      <c r="H40" s="110">
        <v>10000</v>
      </c>
      <c r="I40" s="110">
        <v>10000</v>
      </c>
    </row>
    <row r="41" spans="1:10" s="10" customFormat="1" x14ac:dyDescent="0.25">
      <c r="A41" s="10" t="s">
        <v>29</v>
      </c>
      <c r="B41" s="10" t="s">
        <v>30</v>
      </c>
      <c r="F41" s="112"/>
      <c r="G41" s="106"/>
      <c r="H41" s="107">
        <f>SUM(H42+H44+H43)</f>
        <v>13694170</v>
      </c>
      <c r="I41" s="107">
        <f>SUM(I42+I44+I43)</f>
        <v>8596284</v>
      </c>
    </row>
    <row r="42" spans="1:10" x14ac:dyDescent="0.25">
      <c r="C42" s="12" t="s">
        <v>199</v>
      </c>
      <c r="D42" s="12" t="s">
        <v>200</v>
      </c>
      <c r="F42" s="108"/>
      <c r="G42" s="108"/>
      <c r="H42" s="111">
        <v>0</v>
      </c>
      <c r="I42" s="111">
        <v>0</v>
      </c>
    </row>
    <row r="43" spans="1:10" x14ac:dyDescent="0.25">
      <c r="C43" s="12" t="s">
        <v>201</v>
      </c>
      <c r="D43" s="12" t="s">
        <v>202</v>
      </c>
      <c r="F43" s="108"/>
      <c r="G43" s="119"/>
      <c r="H43" s="110">
        <v>350000</v>
      </c>
      <c r="I43" s="110">
        <v>350000</v>
      </c>
    </row>
    <row r="44" spans="1:10" x14ac:dyDescent="0.25">
      <c r="C44" s="12" t="s">
        <v>203</v>
      </c>
      <c r="D44" s="12" t="s">
        <v>204</v>
      </c>
      <c r="F44" s="108"/>
      <c r="G44" s="108"/>
      <c r="H44" s="251">
        <f>13421540-77370</f>
        <v>13344170</v>
      </c>
      <c r="I44" s="251">
        <v>8246284</v>
      </c>
      <c r="J44" s="283"/>
    </row>
    <row r="45" spans="1:10" s="10" customFormat="1" ht="33" customHeight="1" x14ac:dyDescent="0.25">
      <c r="A45" s="42" t="s">
        <v>109</v>
      </c>
      <c r="B45" s="32"/>
      <c r="C45" s="32"/>
      <c r="D45" s="32"/>
      <c r="E45" s="32"/>
      <c r="F45" s="120"/>
      <c r="G45" s="120"/>
      <c r="H45" s="121">
        <f>SUM(H46)</f>
        <v>3900000</v>
      </c>
      <c r="I45" s="121">
        <f>SUM(I46)</f>
        <v>3900000</v>
      </c>
    </row>
    <row r="46" spans="1:10" s="10" customFormat="1" x14ac:dyDescent="0.25">
      <c r="A46" s="10" t="s">
        <v>36</v>
      </c>
      <c r="B46" s="14" t="s">
        <v>37</v>
      </c>
      <c r="C46" s="14"/>
      <c r="D46" s="14"/>
      <c r="E46" s="14"/>
      <c r="F46" s="106"/>
      <c r="G46" s="106"/>
      <c r="H46" s="107">
        <f>SUM(H47)</f>
        <v>3900000</v>
      </c>
      <c r="I46" s="107">
        <f>SUM(I47)</f>
        <v>3900000</v>
      </c>
    </row>
    <row r="47" spans="1:10" x14ac:dyDescent="0.25">
      <c r="C47" s="12" t="s">
        <v>205</v>
      </c>
      <c r="D47" s="12" t="s">
        <v>206</v>
      </c>
      <c r="F47" s="108"/>
      <c r="G47" s="108"/>
      <c r="H47" s="110">
        <v>3900000</v>
      </c>
      <c r="I47" s="110">
        <v>3900000</v>
      </c>
    </row>
    <row r="48" spans="1:10" ht="32.25" customHeight="1" x14ac:dyDescent="0.25">
      <c r="A48" s="305" t="s">
        <v>52</v>
      </c>
      <c r="B48" s="305"/>
      <c r="C48" s="305"/>
      <c r="D48" s="305"/>
      <c r="E48" s="305"/>
      <c r="F48" s="305"/>
      <c r="G48" s="122"/>
      <c r="H48" s="121">
        <f>H49+H52</f>
        <v>40612887</v>
      </c>
      <c r="I48" s="121">
        <f>I49+I52</f>
        <v>43606308</v>
      </c>
    </row>
    <row r="49" spans="1:9" s="10" customFormat="1" x14ac:dyDescent="0.25">
      <c r="A49" s="10" t="s">
        <v>36</v>
      </c>
      <c r="B49" s="10" t="s">
        <v>37</v>
      </c>
      <c r="F49" s="112"/>
      <c r="G49" s="106"/>
      <c r="H49" s="107">
        <f>H50</f>
        <v>32045167</v>
      </c>
      <c r="I49" s="107">
        <f>I50</f>
        <v>35676217</v>
      </c>
    </row>
    <row r="50" spans="1:9" x14ac:dyDescent="0.25">
      <c r="B50" s="12" t="s">
        <v>207</v>
      </c>
      <c r="C50" s="12" t="s">
        <v>208</v>
      </c>
      <c r="F50" s="108"/>
      <c r="G50" s="108"/>
      <c r="H50" s="110">
        <f>SUM(H51)</f>
        <v>32045167</v>
      </c>
      <c r="I50" s="110">
        <f>SUM(I51)</f>
        <v>35676217</v>
      </c>
    </row>
    <row r="51" spans="1:9" x14ac:dyDescent="0.25">
      <c r="C51" s="12" t="s">
        <v>209</v>
      </c>
      <c r="D51" s="12" t="s">
        <v>210</v>
      </c>
      <c r="F51" s="108"/>
      <c r="G51" s="108"/>
      <c r="H51" s="110">
        <v>32045167</v>
      </c>
      <c r="I51" s="110">
        <f>29638280+5537937+500000</f>
        <v>35676217</v>
      </c>
    </row>
    <row r="52" spans="1:9" x14ac:dyDescent="0.25">
      <c r="A52" s="10" t="s">
        <v>29</v>
      </c>
      <c r="B52" s="10" t="s">
        <v>30</v>
      </c>
      <c r="C52" s="10"/>
      <c r="D52" s="10"/>
      <c r="E52" s="10"/>
      <c r="F52" s="112"/>
      <c r="G52" s="108"/>
      <c r="H52" s="111">
        <f>H53</f>
        <v>8567720</v>
      </c>
      <c r="I52" s="111">
        <f>I53</f>
        <v>7930091</v>
      </c>
    </row>
    <row r="53" spans="1:9" x14ac:dyDescent="0.25">
      <c r="C53" s="12" t="s">
        <v>199</v>
      </c>
      <c r="D53" s="12" t="s">
        <v>200</v>
      </c>
      <c r="F53" s="108"/>
      <c r="G53" s="108"/>
      <c r="H53" s="110">
        <f>SUM(H54:H59)</f>
        <v>8567720</v>
      </c>
      <c r="I53" s="110">
        <f>SUM(I54:I59)</f>
        <v>7930091</v>
      </c>
    </row>
    <row r="54" spans="1:9" ht="31.5" customHeight="1" x14ac:dyDescent="0.25">
      <c r="F54" s="123" t="s">
        <v>211</v>
      </c>
      <c r="G54" s="123"/>
      <c r="H54" s="250">
        <v>5687819</v>
      </c>
      <c r="I54" s="250">
        <v>5030190</v>
      </c>
    </row>
    <row r="55" spans="1:9" ht="16.149999999999999" customHeight="1" x14ac:dyDescent="0.25">
      <c r="F55" s="123" t="s">
        <v>212</v>
      </c>
      <c r="G55" s="123"/>
      <c r="H55" s="250">
        <v>152602</v>
      </c>
      <c r="I55" s="250">
        <v>152602</v>
      </c>
    </row>
    <row r="56" spans="1:9" x14ac:dyDescent="0.25">
      <c r="F56" s="108" t="s">
        <v>213</v>
      </c>
      <c r="G56" s="108"/>
      <c r="H56" s="110">
        <f>1115787+77370</f>
        <v>1193157</v>
      </c>
      <c r="I56" s="110">
        <f>1115787+77370+20000</f>
        <v>1213157</v>
      </c>
    </row>
    <row r="57" spans="1:9" x14ac:dyDescent="0.25">
      <c r="F57" s="108" t="s">
        <v>214</v>
      </c>
      <c r="G57" s="108"/>
      <c r="H57" s="110">
        <v>480187</v>
      </c>
      <c r="I57" s="110">
        <v>480187</v>
      </c>
    </row>
    <row r="58" spans="1:9" x14ac:dyDescent="0.25">
      <c r="F58" s="108" t="s">
        <v>215</v>
      </c>
      <c r="G58" s="108"/>
      <c r="H58" s="110">
        <v>25717</v>
      </c>
      <c r="I58" s="110">
        <v>25717</v>
      </c>
    </row>
    <row r="59" spans="1:9" x14ac:dyDescent="0.25">
      <c r="F59" s="108" t="s">
        <v>216</v>
      </c>
      <c r="G59" s="108"/>
      <c r="H59" s="110">
        <f>403606+40515+36947+147170+400000</f>
        <v>1028238</v>
      </c>
      <c r="I59" s="110">
        <f>403606+40515+36947+147170+400000</f>
        <v>1028238</v>
      </c>
    </row>
    <row r="60" spans="1:9" ht="32.25" customHeight="1" x14ac:dyDescent="0.25">
      <c r="A60" s="305" t="s">
        <v>118</v>
      </c>
      <c r="B60" s="305"/>
      <c r="C60" s="305"/>
      <c r="D60" s="305"/>
      <c r="E60" s="305"/>
      <c r="F60" s="305"/>
      <c r="G60" s="104"/>
      <c r="H60" s="121">
        <f>SUM(H67+H81+H61+H65+H78)</f>
        <v>3270499.5</v>
      </c>
      <c r="I60" s="121">
        <f>SUM(I67+I81+I61+I65+I78)</f>
        <v>3201473.5</v>
      </c>
    </row>
    <row r="61" spans="1:9" s="10" customFormat="1" x14ac:dyDescent="0.25">
      <c r="A61" s="10" t="s">
        <v>21</v>
      </c>
      <c r="B61" s="14" t="s">
        <v>147</v>
      </c>
      <c r="C61" s="14"/>
      <c r="D61" s="14"/>
      <c r="E61" s="14"/>
      <c r="F61" s="106"/>
      <c r="G61" s="106"/>
      <c r="H61" s="107">
        <f>SUM(H62)</f>
        <v>370500</v>
      </c>
      <c r="I61" s="107">
        <f>SUM(I62)</f>
        <v>121474</v>
      </c>
    </row>
    <row r="62" spans="1:9" x14ac:dyDescent="0.25">
      <c r="B62" s="12" t="s">
        <v>158</v>
      </c>
      <c r="D62" s="12" t="s">
        <v>159</v>
      </c>
      <c r="F62" s="108"/>
      <c r="G62" s="108"/>
      <c r="H62" s="111">
        <f>SUM(H63:H64)</f>
        <v>370500</v>
      </c>
      <c r="I62" s="111">
        <f>SUM(I63:I64)</f>
        <v>121474</v>
      </c>
    </row>
    <row r="63" spans="1:9" x14ac:dyDescent="0.25">
      <c r="C63" s="12" t="s">
        <v>338</v>
      </c>
      <c r="D63" s="12" t="s">
        <v>339</v>
      </c>
      <c r="F63" s="108"/>
      <c r="G63" s="108"/>
      <c r="H63" s="110">
        <v>0</v>
      </c>
      <c r="I63" s="110">
        <v>21474</v>
      </c>
    </row>
    <row r="64" spans="1:9" x14ac:dyDescent="0.25">
      <c r="C64" s="12" t="s">
        <v>217</v>
      </c>
      <c r="D64" s="12" t="s">
        <v>218</v>
      </c>
      <c r="F64" s="108"/>
      <c r="G64" s="108"/>
      <c r="H64" s="110">
        <f>7410*50</f>
        <v>370500</v>
      </c>
      <c r="I64" s="110">
        <v>100000</v>
      </c>
    </row>
    <row r="65" spans="1:9" s="10" customFormat="1" ht="15.75" customHeight="1" x14ac:dyDescent="0.25">
      <c r="A65" s="10" t="s">
        <v>23</v>
      </c>
      <c r="B65" s="10" t="s">
        <v>163</v>
      </c>
      <c r="F65" s="112"/>
      <c r="G65" s="113"/>
      <c r="H65" s="107">
        <f>SUM(H66)</f>
        <v>50000</v>
      </c>
      <c r="I65" s="107">
        <f>SUM(I66)</f>
        <v>30000</v>
      </c>
    </row>
    <row r="66" spans="1:9" x14ac:dyDescent="0.25">
      <c r="D66" s="12" t="s">
        <v>219</v>
      </c>
      <c r="F66" s="108"/>
      <c r="G66" s="108"/>
      <c r="H66" s="110">
        <f>1000*50</f>
        <v>50000</v>
      </c>
      <c r="I66" s="110">
        <v>30000</v>
      </c>
    </row>
    <row r="67" spans="1:9" s="10" customFormat="1" x14ac:dyDescent="0.25">
      <c r="A67" s="10" t="s">
        <v>25</v>
      </c>
      <c r="B67" s="10" t="s">
        <v>26</v>
      </c>
      <c r="F67" s="112"/>
      <c r="G67" s="106"/>
      <c r="H67" s="11">
        <f>SUM(H68+H70+H76)</f>
        <v>2350000</v>
      </c>
      <c r="I67" s="11">
        <f>SUM(I68+I70+I76)</f>
        <v>2550000</v>
      </c>
    </row>
    <row r="68" spans="1:9" x14ac:dyDescent="0.25">
      <c r="A68" s="4" t="s">
        <v>110</v>
      </c>
      <c r="B68" s="12" t="s">
        <v>165</v>
      </c>
      <c r="D68" s="12" t="s">
        <v>166</v>
      </c>
      <c r="F68" s="115"/>
      <c r="G68" s="115"/>
      <c r="H68" s="13">
        <f>SUM(H69)</f>
        <v>700000</v>
      </c>
      <c r="I68" s="13">
        <f>SUM(I69)</f>
        <v>500000</v>
      </c>
    </row>
    <row r="69" spans="1:9" x14ac:dyDescent="0.25">
      <c r="C69" s="12" t="s">
        <v>170</v>
      </c>
      <c r="D69" s="12" t="s">
        <v>171</v>
      </c>
      <c r="F69" s="108"/>
      <c r="G69" s="108"/>
      <c r="H69" s="110">
        <v>700000</v>
      </c>
      <c r="I69" s="110">
        <v>500000</v>
      </c>
    </row>
    <row r="70" spans="1:9" x14ac:dyDescent="0.25">
      <c r="B70" s="12" t="s">
        <v>178</v>
      </c>
      <c r="D70" s="12" t="s">
        <v>179</v>
      </c>
      <c r="F70" s="108"/>
      <c r="G70" s="108"/>
      <c r="H70" s="13">
        <f>SUM(H71+H72+H73)</f>
        <v>1150000</v>
      </c>
      <c r="I70" s="13">
        <f>SUM(I71+I72+I73)</f>
        <v>1550000</v>
      </c>
    </row>
    <row r="71" spans="1:9" x14ac:dyDescent="0.25">
      <c r="C71" s="12" t="s">
        <v>180</v>
      </c>
      <c r="D71" s="12" t="s">
        <v>181</v>
      </c>
      <c r="F71" s="108"/>
      <c r="G71" s="108"/>
      <c r="H71" s="110">
        <v>50000</v>
      </c>
      <c r="I71" s="110">
        <v>50000</v>
      </c>
    </row>
    <row r="72" spans="1:9" x14ac:dyDescent="0.25">
      <c r="C72" s="12" t="s">
        <v>182</v>
      </c>
      <c r="D72" s="12" t="s">
        <v>183</v>
      </c>
      <c r="F72" s="108"/>
      <c r="G72" s="108"/>
      <c r="H72" s="110">
        <v>500000</v>
      </c>
      <c r="I72" s="110">
        <v>300000</v>
      </c>
    </row>
    <row r="73" spans="1:9" x14ac:dyDescent="0.25">
      <c r="C73" s="12" t="s">
        <v>184</v>
      </c>
      <c r="D73" s="12" t="s">
        <v>185</v>
      </c>
      <c r="F73" s="108"/>
      <c r="G73" s="108"/>
      <c r="H73" s="110">
        <f>SUM(H74:H75)</f>
        <v>600000</v>
      </c>
      <c r="I73" s="110">
        <f>SUM(I74:J75)</f>
        <v>1200000</v>
      </c>
    </row>
    <row r="74" spans="1:9" x14ac:dyDescent="0.25">
      <c r="F74" s="108" t="s">
        <v>220</v>
      </c>
      <c r="G74" s="108"/>
      <c r="H74" s="110">
        <v>200000</v>
      </c>
      <c r="I74" s="110">
        <v>800000</v>
      </c>
    </row>
    <row r="75" spans="1:9" x14ac:dyDescent="0.25">
      <c r="F75" s="108" t="s">
        <v>186</v>
      </c>
      <c r="G75" s="108"/>
      <c r="H75" s="110">
        <v>400000</v>
      </c>
      <c r="I75" s="110">
        <v>400000</v>
      </c>
    </row>
    <row r="76" spans="1:9" x14ac:dyDescent="0.25">
      <c r="B76" s="12" t="s">
        <v>191</v>
      </c>
      <c r="D76" s="12" t="s">
        <v>192</v>
      </c>
      <c r="F76" s="108"/>
      <c r="G76" s="108"/>
      <c r="H76" s="13">
        <f>SUM(H77)</f>
        <v>500000</v>
      </c>
      <c r="I76" s="13">
        <f>SUM(I77)</f>
        <v>500000</v>
      </c>
    </row>
    <row r="77" spans="1:9" x14ac:dyDescent="0.25">
      <c r="C77" s="12" t="s">
        <v>193</v>
      </c>
      <c r="D77" s="12" t="s">
        <v>194</v>
      </c>
      <c r="F77" s="108"/>
      <c r="G77" s="108"/>
      <c r="H77" s="110">
        <v>500000</v>
      </c>
      <c r="I77" s="110">
        <v>500000</v>
      </c>
    </row>
    <row r="78" spans="1:9" x14ac:dyDescent="0.25">
      <c r="A78" s="10" t="s">
        <v>32</v>
      </c>
      <c r="B78" s="14" t="s">
        <v>33</v>
      </c>
      <c r="F78" s="108"/>
      <c r="G78" s="108"/>
      <c r="H78" s="107">
        <f>SUM(H79:H80)</f>
        <v>299999.90000000002</v>
      </c>
      <c r="I78" s="107">
        <f>SUM(I79:I80)</f>
        <v>299999.90000000002</v>
      </c>
    </row>
    <row r="79" spans="1:9" x14ac:dyDescent="0.25">
      <c r="B79" s="12" t="s">
        <v>221</v>
      </c>
      <c r="C79" s="10"/>
      <c r="D79" s="12" t="s">
        <v>329</v>
      </c>
      <c r="E79" s="10"/>
      <c r="F79" s="124"/>
      <c r="G79" s="110"/>
      <c r="H79" s="110">
        <v>236220</v>
      </c>
      <c r="I79" s="110">
        <v>236220</v>
      </c>
    </row>
    <row r="80" spans="1:9" x14ac:dyDescent="0.25">
      <c r="B80" s="12" t="s">
        <v>223</v>
      </c>
      <c r="D80" s="12" t="s">
        <v>224</v>
      </c>
      <c r="F80" s="108"/>
      <c r="G80" s="108"/>
      <c r="H80" s="110">
        <f>H79*0.27+0.5</f>
        <v>63779.9</v>
      </c>
      <c r="I80" s="110">
        <f>I79*0.27+0.5</f>
        <v>63779.9</v>
      </c>
    </row>
    <row r="81" spans="1:9" s="10" customFormat="1" x14ac:dyDescent="0.25">
      <c r="A81" s="10" t="s">
        <v>34</v>
      </c>
      <c r="B81" s="10" t="s">
        <v>35</v>
      </c>
      <c r="F81" s="112"/>
      <c r="G81" s="125"/>
      <c r="H81" s="107">
        <f>SUM(H82:H83)</f>
        <v>199999.6</v>
      </c>
      <c r="I81" s="107">
        <f>SUM(I82:I83)</f>
        <v>199999.6</v>
      </c>
    </row>
    <row r="82" spans="1:9" x14ac:dyDescent="0.25">
      <c r="B82" s="12" t="s">
        <v>225</v>
      </c>
      <c r="D82" s="12" t="s">
        <v>330</v>
      </c>
      <c r="F82" s="108"/>
      <c r="G82" s="78"/>
      <c r="H82" s="110">
        <v>157480</v>
      </c>
      <c r="I82" s="110">
        <v>157480</v>
      </c>
    </row>
    <row r="83" spans="1:9" x14ac:dyDescent="0.25">
      <c r="B83" s="12" t="s">
        <v>226</v>
      </c>
      <c r="D83" s="12" t="s">
        <v>227</v>
      </c>
      <c r="F83" s="108"/>
      <c r="G83" s="78"/>
      <c r="H83" s="110">
        <f>H82*0.27</f>
        <v>42519.600000000006</v>
      </c>
      <c r="I83" s="110">
        <f>I82*0.27</f>
        <v>42519.600000000006</v>
      </c>
    </row>
    <row r="84" spans="1:9" ht="32.25" customHeight="1" x14ac:dyDescent="0.25">
      <c r="A84" s="305" t="s">
        <v>78</v>
      </c>
      <c r="B84" s="305"/>
      <c r="C84" s="305"/>
      <c r="D84" s="305"/>
      <c r="E84" s="305"/>
      <c r="F84" s="305"/>
      <c r="G84" s="104"/>
      <c r="H84" s="121">
        <f>SUM(H85,H96)</f>
        <v>1285000.2</v>
      </c>
      <c r="I84" s="121">
        <f>SUM(I85,I96)</f>
        <v>939500</v>
      </c>
    </row>
    <row r="85" spans="1:9" s="10" customFormat="1" x14ac:dyDescent="0.25">
      <c r="A85" s="10" t="s">
        <v>25</v>
      </c>
      <c r="B85" s="10" t="s">
        <v>26</v>
      </c>
      <c r="F85" s="112"/>
      <c r="G85" s="106"/>
      <c r="H85" s="11">
        <f>SUM(H86+H89+H94)</f>
        <v>885000</v>
      </c>
      <c r="I85" s="11">
        <f>SUM(I86+I89+I94)</f>
        <v>590000</v>
      </c>
    </row>
    <row r="86" spans="1:9" x14ac:dyDescent="0.25">
      <c r="B86" s="12" t="s">
        <v>165</v>
      </c>
      <c r="D86" s="12" t="s">
        <v>166</v>
      </c>
      <c r="F86" s="115"/>
      <c r="G86" s="115"/>
      <c r="H86" s="13">
        <f>SUM(H87)</f>
        <v>20000</v>
      </c>
      <c r="I86" s="13">
        <f>SUM(I87)</f>
        <v>20000</v>
      </c>
    </row>
    <row r="87" spans="1:9" x14ac:dyDescent="0.25">
      <c r="C87" s="12" t="s">
        <v>170</v>
      </c>
      <c r="D87" s="12" t="s">
        <v>171</v>
      </c>
      <c r="F87" s="108"/>
      <c r="G87" s="108"/>
      <c r="H87" s="110">
        <f>SUM(H88)</f>
        <v>20000</v>
      </c>
      <c r="I87" s="110">
        <f>SUM(I88)</f>
        <v>20000</v>
      </c>
    </row>
    <row r="88" spans="1:9" x14ac:dyDescent="0.25">
      <c r="A88" s="10"/>
      <c r="B88" s="14"/>
      <c r="C88" s="14"/>
      <c r="D88" s="126"/>
      <c r="E88" s="126"/>
      <c r="F88" s="108" t="s">
        <v>228</v>
      </c>
      <c r="G88" s="108"/>
      <c r="H88" s="110">
        <v>20000</v>
      </c>
      <c r="I88" s="110">
        <v>20000</v>
      </c>
    </row>
    <row r="89" spans="1:9" x14ac:dyDescent="0.25">
      <c r="B89" s="12" t="s">
        <v>178</v>
      </c>
      <c r="D89" s="12" t="s">
        <v>179</v>
      </c>
      <c r="F89" s="108"/>
      <c r="G89" s="108"/>
      <c r="H89" s="13">
        <f>SUM(H90:H92)</f>
        <v>665000</v>
      </c>
      <c r="I89" s="13">
        <f>SUM(I90:I92)</f>
        <v>370000</v>
      </c>
    </row>
    <row r="90" spans="1:9" x14ac:dyDescent="0.25">
      <c r="C90" s="12" t="s">
        <v>180</v>
      </c>
      <c r="D90" s="12" t="s">
        <v>181</v>
      </c>
      <c r="F90" s="108"/>
      <c r="G90" s="108"/>
      <c r="H90" s="110">
        <v>15000</v>
      </c>
      <c r="I90" s="110">
        <v>20000</v>
      </c>
    </row>
    <row r="91" spans="1:9" x14ac:dyDescent="0.25">
      <c r="C91" s="12" t="s">
        <v>182</v>
      </c>
      <c r="D91" s="12" t="s">
        <v>183</v>
      </c>
      <c r="F91" s="108"/>
      <c r="G91" s="108"/>
      <c r="H91" s="110">
        <v>450000</v>
      </c>
      <c r="I91" s="110">
        <v>250000</v>
      </c>
    </row>
    <row r="92" spans="1:9" x14ac:dyDescent="0.25">
      <c r="C92" s="12" t="s">
        <v>184</v>
      </c>
      <c r="D92" s="12" t="s">
        <v>185</v>
      </c>
      <c r="F92" s="108"/>
      <c r="G92" s="108"/>
      <c r="H92" s="110">
        <f>H93</f>
        <v>200000</v>
      </c>
      <c r="I92" s="110">
        <f>I93</f>
        <v>100000</v>
      </c>
    </row>
    <row r="93" spans="1:9" x14ac:dyDescent="0.25">
      <c r="F93" s="108" t="s">
        <v>220</v>
      </c>
      <c r="G93" s="108"/>
      <c r="H93" s="110">
        <v>200000</v>
      </c>
      <c r="I93" s="110">
        <v>100000</v>
      </c>
    </row>
    <row r="94" spans="1:9" x14ac:dyDescent="0.25">
      <c r="B94" s="12" t="s">
        <v>191</v>
      </c>
      <c r="D94" s="12" t="s">
        <v>192</v>
      </c>
      <c r="F94" s="108"/>
      <c r="G94" s="108"/>
      <c r="H94" s="13">
        <f>SUM(H95)</f>
        <v>200000</v>
      </c>
      <c r="I94" s="13">
        <f>SUM(I95)</f>
        <v>200000</v>
      </c>
    </row>
    <row r="95" spans="1:9" x14ac:dyDescent="0.25">
      <c r="C95" s="12" t="s">
        <v>193</v>
      </c>
      <c r="D95" s="12" t="s">
        <v>194</v>
      </c>
      <c r="F95" s="108"/>
      <c r="G95" s="108"/>
      <c r="H95" s="110">
        <v>200000</v>
      </c>
      <c r="I95" s="110">
        <v>200000</v>
      </c>
    </row>
    <row r="96" spans="1:9" s="10" customFormat="1" x14ac:dyDescent="0.25">
      <c r="A96" s="10" t="s">
        <v>32</v>
      </c>
      <c r="B96" s="10" t="s">
        <v>33</v>
      </c>
      <c r="F96" s="112"/>
      <c r="G96" s="106"/>
      <c r="H96" s="11">
        <f>SUM(H97:H98)</f>
        <v>400000.2</v>
      </c>
      <c r="I96" s="11">
        <f>SUM(I97:I98)</f>
        <v>349500</v>
      </c>
    </row>
    <row r="97" spans="1:9" x14ac:dyDescent="0.25">
      <c r="B97" s="12" t="s">
        <v>229</v>
      </c>
      <c r="D97" s="12" t="s">
        <v>230</v>
      </c>
      <c r="F97" s="108"/>
      <c r="G97" s="108"/>
      <c r="H97" s="110">
        <v>314960</v>
      </c>
      <c r="I97" s="110">
        <v>349500</v>
      </c>
    </row>
    <row r="98" spans="1:9" x14ac:dyDescent="0.25">
      <c r="B98" s="12" t="s">
        <v>223</v>
      </c>
      <c r="D98" s="12" t="s">
        <v>224</v>
      </c>
      <c r="F98" s="108"/>
      <c r="G98" s="108"/>
      <c r="H98" s="110">
        <f>H97*0.27+1</f>
        <v>85040.200000000012</v>
      </c>
      <c r="I98" s="110">
        <v>0</v>
      </c>
    </row>
    <row r="99" spans="1:9" s="10" customFormat="1" ht="29.45" customHeight="1" x14ac:dyDescent="0.25">
      <c r="A99" s="42" t="s">
        <v>231</v>
      </c>
      <c r="B99" s="32"/>
      <c r="C99" s="32"/>
      <c r="D99" s="32"/>
      <c r="E99" s="32"/>
      <c r="F99" s="120"/>
      <c r="G99" s="120"/>
      <c r="H99" s="127">
        <f>H100+H108</f>
        <v>700000</v>
      </c>
      <c r="I99" s="127">
        <f>I100+I108</f>
        <v>764900.3</v>
      </c>
    </row>
    <row r="100" spans="1:9" s="10" customFormat="1" x14ac:dyDescent="0.25">
      <c r="A100" s="10" t="s">
        <v>25</v>
      </c>
      <c r="B100" s="10" t="s">
        <v>26</v>
      </c>
      <c r="F100" s="112"/>
      <c r="G100" s="106"/>
      <c r="H100" s="11">
        <f>SUM(H101+H103+H106)</f>
        <v>700000</v>
      </c>
      <c r="I100" s="11">
        <f>SUM(I101+I103+I106)</f>
        <v>620000</v>
      </c>
    </row>
    <row r="101" spans="1:9" x14ac:dyDescent="0.25">
      <c r="B101" s="12" t="s">
        <v>165</v>
      </c>
      <c r="D101" s="12" t="s">
        <v>166</v>
      </c>
      <c r="F101" s="115"/>
      <c r="G101" s="115"/>
      <c r="H101" s="13">
        <f>SUM(H102)</f>
        <v>400000</v>
      </c>
      <c r="I101" s="13">
        <f>SUM(I102)</f>
        <v>400000</v>
      </c>
    </row>
    <row r="102" spans="1:9" x14ac:dyDescent="0.25">
      <c r="C102" s="12" t="s">
        <v>170</v>
      </c>
      <c r="D102" s="12" t="s">
        <v>232</v>
      </c>
      <c r="F102" s="108"/>
      <c r="G102" s="108"/>
      <c r="H102" s="110">
        <v>400000</v>
      </c>
      <c r="I102" s="110">
        <v>400000</v>
      </c>
    </row>
    <row r="103" spans="1:9" x14ac:dyDescent="0.25">
      <c r="B103" s="12" t="s">
        <v>178</v>
      </c>
      <c r="D103" s="12" t="s">
        <v>179</v>
      </c>
      <c r="F103" s="108"/>
      <c r="G103" s="108"/>
      <c r="H103" s="13">
        <f>H104+H105</f>
        <v>150000</v>
      </c>
      <c r="I103" s="13">
        <f>I104+I105</f>
        <v>70000</v>
      </c>
    </row>
    <row r="104" spans="1:9" x14ac:dyDescent="0.25">
      <c r="C104" s="12" t="s">
        <v>182</v>
      </c>
      <c r="D104" s="12" t="s">
        <v>183</v>
      </c>
      <c r="F104" s="108"/>
      <c r="G104" s="108"/>
      <c r="H104" s="110">
        <v>130000</v>
      </c>
      <c r="I104" s="110">
        <v>50000</v>
      </c>
    </row>
    <row r="105" spans="1:9" x14ac:dyDescent="0.25">
      <c r="C105" s="12" t="s">
        <v>184</v>
      </c>
      <c r="D105" s="12" t="s">
        <v>185</v>
      </c>
      <c r="F105" s="108"/>
      <c r="G105" s="108"/>
      <c r="H105" s="110">
        <v>20000</v>
      </c>
      <c r="I105" s="110">
        <v>20000</v>
      </c>
    </row>
    <row r="106" spans="1:9" x14ac:dyDescent="0.25">
      <c r="B106" s="12" t="s">
        <v>191</v>
      </c>
      <c r="D106" s="12" t="s">
        <v>192</v>
      </c>
      <c r="F106" s="108"/>
      <c r="G106" s="108"/>
      <c r="H106" s="13">
        <f>SUM(H107:H107)</f>
        <v>150000</v>
      </c>
      <c r="I106" s="13">
        <f>SUM(I107:I107)</f>
        <v>150000</v>
      </c>
    </row>
    <row r="107" spans="1:9" x14ac:dyDescent="0.25">
      <c r="C107" s="12" t="s">
        <v>193</v>
      </c>
      <c r="D107" s="12" t="s">
        <v>194</v>
      </c>
      <c r="F107" s="108"/>
      <c r="G107" s="108"/>
      <c r="H107" s="110">
        <v>150000</v>
      </c>
      <c r="I107" s="110">
        <v>150000</v>
      </c>
    </row>
    <row r="108" spans="1:9" x14ac:dyDescent="0.25">
      <c r="A108" s="10" t="s">
        <v>32</v>
      </c>
      <c r="B108" s="14" t="s">
        <v>33</v>
      </c>
      <c r="F108" s="108"/>
      <c r="G108" s="108"/>
      <c r="H108" s="128">
        <f>SUM(H109:H110)</f>
        <v>0</v>
      </c>
      <c r="I108" s="107">
        <f>SUM(I109:I110)</f>
        <v>144900.29999999999</v>
      </c>
    </row>
    <row r="109" spans="1:9" x14ac:dyDescent="0.25">
      <c r="B109" s="12" t="s">
        <v>221</v>
      </c>
      <c r="C109" s="10"/>
      <c r="D109" s="12" t="s">
        <v>222</v>
      </c>
      <c r="E109" s="10"/>
      <c r="F109" s="124"/>
      <c r="G109" s="110"/>
      <c r="H109" s="110">
        <v>0</v>
      </c>
      <c r="I109" s="110">
        <v>114094.3</v>
      </c>
    </row>
    <row r="110" spans="1:9" x14ac:dyDescent="0.25">
      <c r="B110" s="12" t="s">
        <v>223</v>
      </c>
      <c r="D110" s="12" t="s">
        <v>224</v>
      </c>
      <c r="F110" s="108"/>
      <c r="G110" s="108"/>
      <c r="H110" s="110">
        <v>0</v>
      </c>
      <c r="I110" s="110">
        <v>30806</v>
      </c>
    </row>
    <row r="111" spans="1:9" s="10" customFormat="1" ht="30.6" customHeight="1" x14ac:dyDescent="0.25">
      <c r="A111" s="306" t="s">
        <v>233</v>
      </c>
      <c r="B111" s="306"/>
      <c r="C111" s="306"/>
      <c r="D111" s="306"/>
      <c r="E111" s="306"/>
      <c r="F111" s="306"/>
      <c r="G111" s="120"/>
      <c r="H111" s="127">
        <f>SUM(H112)</f>
        <v>762000</v>
      </c>
      <c r="I111" s="127">
        <f>SUM(I112)</f>
        <v>762000</v>
      </c>
    </row>
    <row r="112" spans="1:9" s="10" customFormat="1" x14ac:dyDescent="0.25">
      <c r="A112" s="10" t="s">
        <v>25</v>
      </c>
      <c r="B112" s="10" t="s">
        <v>26</v>
      </c>
      <c r="F112" s="112"/>
      <c r="G112" s="106"/>
      <c r="H112" s="11">
        <f>SUM(H113+H116)</f>
        <v>762000</v>
      </c>
      <c r="I112" s="11">
        <f>SUM(I113+I116)</f>
        <v>762000</v>
      </c>
    </row>
    <row r="113" spans="1:9" x14ac:dyDescent="0.25">
      <c r="B113" s="12" t="s">
        <v>178</v>
      </c>
      <c r="D113" s="12" t="s">
        <v>179</v>
      </c>
      <c r="F113" s="108"/>
      <c r="G113" s="108"/>
      <c r="H113" s="13">
        <f>SUM(H114)</f>
        <v>600000</v>
      </c>
      <c r="I113" s="13">
        <f>SUM(I114)</f>
        <v>600000</v>
      </c>
    </row>
    <row r="114" spans="1:9" x14ac:dyDescent="0.25">
      <c r="C114" s="12" t="s">
        <v>180</v>
      </c>
      <c r="D114" s="12" t="s">
        <v>181</v>
      </c>
      <c r="F114" s="108"/>
      <c r="G114" s="108"/>
      <c r="H114" s="110">
        <f>SUM(H115)</f>
        <v>600000</v>
      </c>
      <c r="I114" s="110">
        <f>SUM(I115)</f>
        <v>600000</v>
      </c>
    </row>
    <row r="115" spans="1:9" x14ac:dyDescent="0.25">
      <c r="F115" s="108" t="s">
        <v>234</v>
      </c>
      <c r="G115" s="108"/>
      <c r="H115" s="110">
        <v>600000</v>
      </c>
      <c r="I115" s="110">
        <v>600000</v>
      </c>
    </row>
    <row r="116" spans="1:9" x14ac:dyDescent="0.25">
      <c r="B116" s="12" t="s">
        <v>191</v>
      </c>
      <c r="D116" s="12" t="s">
        <v>192</v>
      </c>
      <c r="F116" s="108"/>
      <c r="G116" s="108"/>
      <c r="H116" s="111">
        <f>SUM(H117)</f>
        <v>162000</v>
      </c>
      <c r="I116" s="111">
        <f>SUM(I117)</f>
        <v>162000</v>
      </c>
    </row>
    <row r="117" spans="1:9" x14ac:dyDescent="0.25">
      <c r="C117" s="12" t="s">
        <v>193</v>
      </c>
      <c r="D117" s="12" t="s">
        <v>194</v>
      </c>
      <c r="F117" s="108"/>
      <c r="G117" s="108"/>
      <c r="H117" s="110">
        <f>H114*0.27</f>
        <v>162000</v>
      </c>
      <c r="I117" s="110">
        <f>I114*0.27</f>
        <v>162000</v>
      </c>
    </row>
    <row r="118" spans="1:9" s="10" customFormat="1" ht="30" customHeight="1" x14ac:dyDescent="0.25">
      <c r="A118" s="42" t="s">
        <v>235</v>
      </c>
      <c r="B118" s="32"/>
      <c r="C118" s="32"/>
      <c r="D118" s="32"/>
      <c r="E118" s="32"/>
      <c r="F118" s="120"/>
      <c r="G118" s="129">
        <v>1</v>
      </c>
      <c r="H118" s="127">
        <f>SUM(H119+H125+H127)</f>
        <v>4908571</v>
      </c>
      <c r="I118" s="127">
        <f>SUM(I119+I125+I127)</f>
        <v>5097302</v>
      </c>
    </row>
    <row r="119" spans="1:9" s="10" customFormat="1" x14ac:dyDescent="0.25">
      <c r="A119" s="10" t="s">
        <v>21</v>
      </c>
      <c r="B119" s="10" t="s">
        <v>147</v>
      </c>
      <c r="F119" s="112"/>
      <c r="G119" s="106"/>
      <c r="H119" s="107">
        <f>SUM(H120)</f>
        <v>3223252</v>
      </c>
      <c r="I119" s="107">
        <f>SUM(I120)</f>
        <v>3367302</v>
      </c>
    </row>
    <row r="120" spans="1:9" x14ac:dyDescent="0.25">
      <c r="B120" s="12" t="s">
        <v>148</v>
      </c>
      <c r="D120" s="12" t="s">
        <v>149</v>
      </c>
      <c r="F120" s="108"/>
      <c r="G120" s="108"/>
      <c r="H120" s="13">
        <f>SUM(H121:H124)</f>
        <v>3223252</v>
      </c>
      <c r="I120" s="13">
        <f>SUM(I121:I124)</f>
        <v>3367302</v>
      </c>
    </row>
    <row r="121" spans="1:9" x14ac:dyDescent="0.25">
      <c r="C121" s="12" t="s">
        <v>150</v>
      </c>
      <c r="D121" s="12" t="s">
        <v>151</v>
      </c>
      <c r="F121" s="108"/>
      <c r="G121" s="108"/>
      <c r="H121" s="110">
        <v>3123252</v>
      </c>
      <c r="I121" s="110">
        <v>3123252</v>
      </c>
    </row>
    <row r="122" spans="1:9" x14ac:dyDescent="0.25">
      <c r="C122" s="12" t="s">
        <v>236</v>
      </c>
      <c r="D122" s="108" t="s">
        <v>237</v>
      </c>
      <c r="F122" s="108"/>
      <c r="G122" s="108"/>
      <c r="H122" s="114">
        <v>50000</v>
      </c>
      <c r="I122" s="110">
        <v>50000</v>
      </c>
    </row>
    <row r="123" spans="1:9" x14ac:dyDescent="0.25">
      <c r="C123" s="12" t="s">
        <v>238</v>
      </c>
      <c r="D123" s="108" t="s">
        <v>239</v>
      </c>
      <c r="F123" s="108"/>
      <c r="G123" s="108"/>
      <c r="H123" s="114">
        <v>0</v>
      </c>
      <c r="I123" s="110">
        <v>144050</v>
      </c>
    </row>
    <row r="124" spans="1:9" x14ac:dyDescent="0.25">
      <c r="C124" s="12" t="s">
        <v>156</v>
      </c>
      <c r="D124" s="12" t="s">
        <v>157</v>
      </c>
      <c r="F124" s="108"/>
      <c r="G124" s="108"/>
      <c r="H124" s="110">
        <v>50000</v>
      </c>
      <c r="I124" s="110">
        <v>50000</v>
      </c>
    </row>
    <row r="125" spans="1:9" s="10" customFormat="1" ht="15.75" customHeight="1" x14ac:dyDescent="0.25">
      <c r="A125" s="10" t="s">
        <v>23</v>
      </c>
      <c r="B125" s="10" t="s">
        <v>163</v>
      </c>
      <c r="F125" s="112"/>
      <c r="G125" s="113"/>
      <c r="H125" s="11">
        <f>SUM(H126)</f>
        <v>555319</v>
      </c>
      <c r="I125" s="11">
        <f>SUM(I126)</f>
        <v>600000</v>
      </c>
    </row>
    <row r="126" spans="1:9" x14ac:dyDescent="0.25">
      <c r="D126" s="12" t="s">
        <v>164</v>
      </c>
      <c r="F126" s="108"/>
      <c r="G126" s="108"/>
      <c r="H126" s="114">
        <f>546569+8750</f>
        <v>555319</v>
      </c>
      <c r="I126" s="110">
        <v>600000</v>
      </c>
    </row>
    <row r="127" spans="1:9" s="10" customFormat="1" x14ac:dyDescent="0.25">
      <c r="A127" s="10" t="s">
        <v>25</v>
      </c>
      <c r="B127" s="10" t="s">
        <v>26</v>
      </c>
      <c r="F127" s="112"/>
      <c r="G127" s="106"/>
      <c r="H127" s="11">
        <f>SUM(H128+H130+H135)</f>
        <v>1130000</v>
      </c>
      <c r="I127" s="11">
        <f>SUM(I128+I130+I135)</f>
        <v>1130000</v>
      </c>
    </row>
    <row r="128" spans="1:9" x14ac:dyDescent="0.25">
      <c r="B128" s="12" t="s">
        <v>165</v>
      </c>
      <c r="D128" s="12" t="s">
        <v>166</v>
      </c>
      <c r="F128" s="115"/>
      <c r="G128" s="115"/>
      <c r="H128" s="13">
        <f>SUM(H129:H129)</f>
        <v>500000</v>
      </c>
      <c r="I128" s="13">
        <f>SUM(I129:I129)</f>
        <v>500000</v>
      </c>
    </row>
    <row r="129" spans="1:9" x14ac:dyDescent="0.25">
      <c r="C129" s="12" t="s">
        <v>170</v>
      </c>
      <c r="D129" s="12" t="s">
        <v>232</v>
      </c>
      <c r="F129" s="108"/>
      <c r="G129" s="108"/>
      <c r="H129" s="110">
        <v>500000</v>
      </c>
      <c r="I129" s="110">
        <v>500000</v>
      </c>
    </row>
    <row r="130" spans="1:9" x14ac:dyDescent="0.25">
      <c r="B130" s="12" t="s">
        <v>178</v>
      </c>
      <c r="D130" s="12" t="s">
        <v>179</v>
      </c>
      <c r="F130" s="108"/>
      <c r="G130" s="108"/>
      <c r="H130" s="13">
        <f>SUM(H131+H132)</f>
        <v>400000</v>
      </c>
      <c r="I130" s="13">
        <f>SUM(I131+I132)</f>
        <v>400000</v>
      </c>
    </row>
    <row r="131" spans="1:9" x14ac:dyDescent="0.25">
      <c r="C131" s="12" t="s">
        <v>182</v>
      </c>
      <c r="D131" s="12" t="s">
        <v>240</v>
      </c>
      <c r="F131" s="108"/>
      <c r="G131" s="108"/>
      <c r="H131" s="110">
        <v>150000</v>
      </c>
      <c r="I131" s="110">
        <v>150000</v>
      </c>
    </row>
    <row r="132" spans="1:9" x14ac:dyDescent="0.25">
      <c r="C132" s="12" t="s">
        <v>184</v>
      </c>
      <c r="D132" s="12" t="s">
        <v>185</v>
      </c>
      <c r="F132" s="108"/>
      <c r="G132" s="108"/>
      <c r="H132" s="110">
        <f>SUM(H133:H134)</f>
        <v>250000</v>
      </c>
      <c r="I132" s="110">
        <f>SUM(I133:I134)</f>
        <v>250000</v>
      </c>
    </row>
    <row r="133" spans="1:9" x14ac:dyDescent="0.25">
      <c r="F133" s="108" t="s">
        <v>220</v>
      </c>
      <c r="G133" s="108"/>
      <c r="H133" s="116">
        <v>200000</v>
      </c>
      <c r="I133" s="116">
        <v>200000</v>
      </c>
    </row>
    <row r="134" spans="1:9" x14ac:dyDescent="0.25">
      <c r="F134" s="108" t="s">
        <v>186</v>
      </c>
      <c r="G134" s="108"/>
      <c r="H134" s="116">
        <v>50000</v>
      </c>
      <c r="I134" s="116">
        <v>50000</v>
      </c>
    </row>
    <row r="135" spans="1:9" x14ac:dyDescent="0.25">
      <c r="B135" s="12" t="s">
        <v>191</v>
      </c>
      <c r="D135" s="12" t="s">
        <v>192</v>
      </c>
      <c r="F135" s="108"/>
      <c r="G135" s="108"/>
      <c r="H135" s="13">
        <f>SUM(H136)</f>
        <v>230000</v>
      </c>
      <c r="I135" s="13">
        <f>SUM(I136)</f>
        <v>230000</v>
      </c>
    </row>
    <row r="136" spans="1:9" x14ac:dyDescent="0.25">
      <c r="C136" s="12" t="s">
        <v>193</v>
      </c>
      <c r="D136" s="12" t="s">
        <v>194</v>
      </c>
      <c r="F136" s="108"/>
      <c r="G136" s="108"/>
      <c r="H136" s="116">
        <v>230000</v>
      </c>
      <c r="I136" s="116">
        <v>230000</v>
      </c>
    </row>
    <row r="137" spans="1:9" s="10" customFormat="1" ht="28.15" customHeight="1" x14ac:dyDescent="0.25">
      <c r="A137" s="42" t="s">
        <v>122</v>
      </c>
      <c r="B137" s="32"/>
      <c r="C137" s="32"/>
      <c r="D137" s="32"/>
      <c r="E137" s="32"/>
      <c r="F137" s="120"/>
      <c r="G137" s="129">
        <v>4</v>
      </c>
      <c r="H137" s="121">
        <f>SUM(H138+H142+H144)</f>
        <v>3379550</v>
      </c>
      <c r="I137" s="121">
        <f>SUM(I138+I142+I144)</f>
        <v>3429550</v>
      </c>
    </row>
    <row r="138" spans="1:9" s="10" customFormat="1" x14ac:dyDescent="0.25">
      <c r="A138" s="10" t="s">
        <v>21</v>
      </c>
      <c r="B138" s="14" t="s">
        <v>147</v>
      </c>
      <c r="C138" s="14"/>
      <c r="D138" s="14"/>
      <c r="E138" s="14"/>
      <c r="F138" s="106"/>
      <c r="G138" s="106"/>
      <c r="H138" s="107">
        <f>SUM(H139)</f>
        <v>2987000</v>
      </c>
      <c r="I138" s="107">
        <f>SUM(I139)</f>
        <v>3037000</v>
      </c>
    </row>
    <row r="139" spans="1:9" x14ac:dyDescent="0.25">
      <c r="B139" s="12" t="s">
        <v>148</v>
      </c>
      <c r="D139" s="12" t="s">
        <v>149</v>
      </c>
      <c r="F139" s="108"/>
      <c r="G139" s="108"/>
      <c r="H139" s="111">
        <f>SUM(H140:H141)</f>
        <v>2987000</v>
      </c>
      <c r="I139" s="111">
        <f>SUM(I140:I141)</f>
        <v>3037000</v>
      </c>
    </row>
    <row r="140" spans="1:9" x14ac:dyDescent="0.25">
      <c r="C140" s="12" t="s">
        <v>150</v>
      </c>
      <c r="D140" s="12" t="s">
        <v>151</v>
      </c>
      <c r="F140" s="108"/>
      <c r="G140" s="108"/>
      <c r="H140" s="110">
        <f>979000*3</f>
        <v>2937000</v>
      </c>
      <c r="I140" s="110">
        <f>979000*3</f>
        <v>2937000</v>
      </c>
    </row>
    <row r="141" spans="1:9" x14ac:dyDescent="0.25">
      <c r="C141" s="12" t="s">
        <v>156</v>
      </c>
      <c r="D141" s="12" t="s">
        <v>157</v>
      </c>
      <c r="F141" s="108"/>
      <c r="G141" s="108"/>
      <c r="H141" s="110">
        <v>50000</v>
      </c>
      <c r="I141" s="110">
        <v>100000</v>
      </c>
    </row>
    <row r="142" spans="1:9" s="10" customFormat="1" ht="15.75" customHeight="1" x14ac:dyDescent="0.25">
      <c r="A142" s="10" t="s">
        <v>23</v>
      </c>
      <c r="B142" s="10" t="s">
        <v>163</v>
      </c>
      <c r="F142" s="112"/>
      <c r="G142" s="113"/>
      <c r="H142" s="107">
        <f>SUM(H143)</f>
        <v>265550</v>
      </c>
      <c r="I142" s="107">
        <f>SUM(I143)</f>
        <v>265550</v>
      </c>
    </row>
    <row r="143" spans="1:9" x14ac:dyDescent="0.25">
      <c r="D143" s="12" t="s">
        <v>164</v>
      </c>
      <c r="F143" s="108"/>
      <c r="G143" s="108"/>
      <c r="H143" s="110">
        <f>85600*3+8750</f>
        <v>265550</v>
      </c>
      <c r="I143" s="110">
        <f>85600*3+8750</f>
        <v>265550</v>
      </c>
    </row>
    <row r="144" spans="1:9" s="10" customFormat="1" ht="16.149999999999999" customHeight="1" x14ac:dyDescent="0.25">
      <c r="A144" s="10" t="s">
        <v>25</v>
      </c>
      <c r="B144" s="10" t="s">
        <v>26</v>
      </c>
      <c r="F144" s="112"/>
      <c r="G144" s="106"/>
      <c r="H144" s="11">
        <f>H145+H147</f>
        <v>127000</v>
      </c>
      <c r="I144" s="11">
        <f>I145+I147</f>
        <v>127000</v>
      </c>
    </row>
    <row r="145" spans="1:9" s="10" customFormat="1" x14ac:dyDescent="0.25">
      <c r="A145" s="4"/>
      <c r="B145" s="12" t="s">
        <v>165</v>
      </c>
      <c r="C145" s="12"/>
      <c r="D145" s="12" t="s">
        <v>166</v>
      </c>
      <c r="E145" s="12"/>
      <c r="F145" s="115"/>
      <c r="G145" s="115"/>
      <c r="H145" s="13">
        <v>100000</v>
      </c>
      <c r="I145" s="13">
        <v>100000</v>
      </c>
    </row>
    <row r="146" spans="1:9" x14ac:dyDescent="0.25">
      <c r="C146" s="12" t="s">
        <v>170</v>
      </c>
      <c r="D146" s="12" t="s">
        <v>232</v>
      </c>
      <c r="F146" s="108"/>
      <c r="G146" s="108"/>
      <c r="H146" s="110">
        <v>100000</v>
      </c>
      <c r="I146" s="110">
        <v>100000</v>
      </c>
    </row>
    <row r="147" spans="1:9" x14ac:dyDescent="0.25">
      <c r="B147" s="12" t="s">
        <v>191</v>
      </c>
      <c r="D147" s="12" t="s">
        <v>192</v>
      </c>
      <c r="F147" s="108"/>
      <c r="G147" s="108"/>
      <c r="H147" s="13">
        <f>SUM(H148)</f>
        <v>27000</v>
      </c>
      <c r="I147" s="13">
        <f>SUM(I148)</f>
        <v>27000</v>
      </c>
    </row>
    <row r="148" spans="1:9" ht="16.899999999999999" customHeight="1" x14ac:dyDescent="0.25">
      <c r="C148" s="12" t="s">
        <v>193</v>
      </c>
      <c r="D148" s="12" t="s">
        <v>194</v>
      </c>
      <c r="F148" s="108"/>
      <c r="G148" s="108"/>
      <c r="H148" s="110">
        <v>27000</v>
      </c>
      <c r="I148" s="110">
        <v>27000</v>
      </c>
    </row>
    <row r="149" spans="1:9" s="10" customFormat="1" ht="27.95" customHeight="1" x14ac:dyDescent="0.25">
      <c r="A149" s="42" t="s">
        <v>241</v>
      </c>
      <c r="B149" s="32"/>
      <c r="C149" s="32"/>
      <c r="D149" s="32"/>
      <c r="E149" s="32"/>
      <c r="F149" s="120"/>
      <c r="G149" s="120"/>
      <c r="H149" s="127">
        <f>SUM(H150,H158)</f>
        <v>4750000</v>
      </c>
      <c r="I149" s="127">
        <f>SUM(I150,I158)</f>
        <v>4750000</v>
      </c>
    </row>
    <row r="150" spans="1:9" x14ac:dyDescent="0.25">
      <c r="A150" s="10" t="s">
        <v>25</v>
      </c>
      <c r="B150" s="10" t="s">
        <v>26</v>
      </c>
      <c r="C150" s="10"/>
      <c r="D150" s="10"/>
      <c r="E150" s="10"/>
      <c r="F150" s="112"/>
      <c r="G150" s="106"/>
      <c r="H150" s="107">
        <f>H151+H153+H156</f>
        <v>1800000</v>
      </c>
      <c r="I150" s="107">
        <f>I151+I153+I156</f>
        <v>1800000</v>
      </c>
    </row>
    <row r="151" spans="1:9" x14ac:dyDescent="0.25">
      <c r="B151" s="12" t="s">
        <v>165</v>
      </c>
      <c r="D151" s="12" t="s">
        <v>166</v>
      </c>
      <c r="F151" s="108"/>
      <c r="G151" s="108"/>
      <c r="H151" s="110">
        <f>H152</f>
        <v>1300000</v>
      </c>
      <c r="I151" s="110">
        <f>I152</f>
        <v>1300000</v>
      </c>
    </row>
    <row r="152" spans="1:9" ht="18" customHeight="1" x14ac:dyDescent="0.25">
      <c r="C152" s="12" t="s">
        <v>170</v>
      </c>
      <c r="D152" s="12" t="s">
        <v>232</v>
      </c>
      <c r="F152" s="108"/>
      <c r="G152" s="108"/>
      <c r="H152" s="110">
        <v>1300000</v>
      </c>
      <c r="I152" s="110">
        <v>1300000</v>
      </c>
    </row>
    <row r="153" spans="1:9" ht="17.45" customHeight="1" x14ac:dyDescent="0.25">
      <c r="B153" s="12" t="s">
        <v>178</v>
      </c>
      <c r="D153" s="12" t="s">
        <v>179</v>
      </c>
      <c r="F153" s="108"/>
      <c r="G153" s="108"/>
      <c r="H153" s="13">
        <f>H154</f>
        <v>150000</v>
      </c>
      <c r="I153" s="13">
        <f>I154</f>
        <v>150000</v>
      </c>
    </row>
    <row r="154" spans="1:9" x14ac:dyDescent="0.25">
      <c r="C154" s="12" t="s">
        <v>184</v>
      </c>
      <c r="D154" s="12" t="s">
        <v>185</v>
      </c>
      <c r="F154" s="108"/>
      <c r="G154" s="108"/>
      <c r="H154" s="110">
        <f>SUM(H155:H155)</f>
        <v>150000</v>
      </c>
      <c r="I154" s="110">
        <f>SUM(I155:I155)</f>
        <v>150000</v>
      </c>
    </row>
    <row r="155" spans="1:9" x14ac:dyDescent="0.25">
      <c r="F155" s="108" t="s">
        <v>220</v>
      </c>
      <c r="G155" s="108"/>
      <c r="H155" s="116">
        <v>150000</v>
      </c>
      <c r="I155" s="116">
        <v>150000</v>
      </c>
    </row>
    <row r="156" spans="1:9" x14ac:dyDescent="0.25">
      <c r="B156" s="12" t="s">
        <v>191</v>
      </c>
      <c r="D156" s="12" t="s">
        <v>192</v>
      </c>
      <c r="F156" s="108"/>
      <c r="G156" s="108"/>
      <c r="H156" s="110">
        <f>H157</f>
        <v>350000</v>
      </c>
      <c r="I156" s="110">
        <f>I157</f>
        <v>350000</v>
      </c>
    </row>
    <row r="157" spans="1:9" x14ac:dyDescent="0.25">
      <c r="C157" s="12" t="s">
        <v>193</v>
      </c>
      <c r="D157" s="12" t="s">
        <v>194</v>
      </c>
      <c r="F157" s="108"/>
      <c r="G157" s="108"/>
      <c r="H157" s="110">
        <v>350000</v>
      </c>
      <c r="I157" s="110">
        <v>350000</v>
      </c>
    </row>
    <row r="158" spans="1:9" x14ac:dyDescent="0.25">
      <c r="A158" s="10" t="s">
        <v>27</v>
      </c>
      <c r="B158" s="10" t="s">
        <v>242</v>
      </c>
      <c r="C158" s="10"/>
      <c r="D158" s="10"/>
      <c r="E158" s="10"/>
      <c r="F158" s="112"/>
      <c r="G158" s="131"/>
      <c r="H158" s="11">
        <f>SUM(H159)</f>
        <v>2950000</v>
      </c>
      <c r="I158" s="11">
        <f>SUM(I159)</f>
        <v>2950000</v>
      </c>
    </row>
    <row r="159" spans="1:9" x14ac:dyDescent="0.25">
      <c r="B159" s="12" t="s">
        <v>243</v>
      </c>
      <c r="D159" s="12" t="s">
        <v>244</v>
      </c>
      <c r="F159" s="108"/>
      <c r="G159" s="116"/>
      <c r="H159" s="110">
        <f>H160</f>
        <v>2950000</v>
      </c>
      <c r="I159" s="110">
        <f>I160</f>
        <v>2950000</v>
      </c>
    </row>
    <row r="160" spans="1:9" x14ac:dyDescent="0.25">
      <c r="F160" s="108" t="s">
        <v>245</v>
      </c>
      <c r="G160" s="116"/>
      <c r="H160" s="110">
        <v>2950000</v>
      </c>
      <c r="I160" s="110">
        <v>2950000</v>
      </c>
    </row>
    <row r="161" spans="1:9" ht="24.6" customHeight="1" x14ac:dyDescent="0.25">
      <c r="A161" s="42" t="s">
        <v>246</v>
      </c>
      <c r="B161" s="32"/>
      <c r="C161" s="32"/>
      <c r="D161" s="32"/>
      <c r="E161" s="32"/>
      <c r="F161" s="120"/>
      <c r="G161" s="120"/>
      <c r="H161" s="121">
        <f>SUM(H162)</f>
        <v>63500</v>
      </c>
      <c r="I161" s="121">
        <f>SUM(I162)</f>
        <v>63500</v>
      </c>
    </row>
    <row r="162" spans="1:9" x14ac:dyDescent="0.25">
      <c r="A162" s="10" t="s">
        <v>25</v>
      </c>
      <c r="B162" s="10" t="s">
        <v>26</v>
      </c>
      <c r="C162" s="10"/>
      <c r="D162" s="10"/>
      <c r="E162" s="10"/>
      <c r="F162" s="112"/>
      <c r="G162" s="106"/>
      <c r="H162" s="107">
        <f>SUM(H163,H165,H168)</f>
        <v>63500</v>
      </c>
      <c r="I162" s="107">
        <f>SUM(I163,I165,I168)</f>
        <v>63500</v>
      </c>
    </row>
    <row r="163" spans="1:9" x14ac:dyDescent="0.25">
      <c r="B163" s="12" t="s">
        <v>165</v>
      </c>
      <c r="D163" s="12" t="s">
        <v>166</v>
      </c>
      <c r="F163" s="108"/>
      <c r="G163" s="108"/>
      <c r="H163" s="111">
        <f>H164</f>
        <v>50000</v>
      </c>
      <c r="I163" s="111">
        <f>I164</f>
        <v>50000</v>
      </c>
    </row>
    <row r="164" spans="1:9" s="10" customFormat="1" ht="18.600000000000001" customHeight="1" x14ac:dyDescent="0.25">
      <c r="A164" s="4"/>
      <c r="B164" s="12"/>
      <c r="C164" s="12" t="s">
        <v>170</v>
      </c>
      <c r="D164" s="12" t="s">
        <v>232</v>
      </c>
      <c r="E164" s="12"/>
      <c r="F164" s="108"/>
      <c r="G164" s="108"/>
      <c r="H164" s="110">
        <v>50000</v>
      </c>
      <c r="I164" s="110">
        <v>50000</v>
      </c>
    </row>
    <row r="165" spans="1:9" s="10" customFormat="1" x14ac:dyDescent="0.25">
      <c r="A165" s="4"/>
      <c r="B165" s="12" t="s">
        <v>178</v>
      </c>
      <c r="C165" s="12"/>
      <c r="D165" s="12" t="s">
        <v>179</v>
      </c>
      <c r="E165" s="12"/>
      <c r="F165" s="12"/>
      <c r="G165" s="133"/>
      <c r="H165" s="111">
        <v>0</v>
      </c>
      <c r="I165" s="111">
        <v>0</v>
      </c>
    </row>
    <row r="166" spans="1:9" x14ac:dyDescent="0.25">
      <c r="C166" s="12" t="s">
        <v>184</v>
      </c>
      <c r="D166" s="12" t="s">
        <v>185</v>
      </c>
      <c r="F166" s="108"/>
      <c r="G166" s="108"/>
      <c r="H166" s="110">
        <f>H167</f>
        <v>0</v>
      </c>
      <c r="I166" s="110">
        <f>I167</f>
        <v>0</v>
      </c>
    </row>
    <row r="167" spans="1:9" x14ac:dyDescent="0.25">
      <c r="F167" s="108" t="s">
        <v>220</v>
      </c>
      <c r="G167" s="108"/>
      <c r="H167" s="110">
        <v>0</v>
      </c>
      <c r="I167" s="110">
        <v>0</v>
      </c>
    </row>
    <row r="168" spans="1:9" x14ac:dyDescent="0.25">
      <c r="B168" s="12" t="s">
        <v>191</v>
      </c>
      <c r="D168" s="12" t="s">
        <v>192</v>
      </c>
      <c r="F168" s="108"/>
      <c r="G168" s="108"/>
      <c r="H168" s="111">
        <f>SUM(H169)</f>
        <v>13500</v>
      </c>
      <c r="I168" s="111">
        <f>SUM(I169)</f>
        <v>13500</v>
      </c>
    </row>
    <row r="169" spans="1:9" x14ac:dyDescent="0.25">
      <c r="C169" s="12" t="s">
        <v>193</v>
      </c>
      <c r="D169" s="12" t="s">
        <v>194</v>
      </c>
      <c r="F169" s="108"/>
      <c r="G169" s="108"/>
      <c r="H169" s="110">
        <f>H164*0.27</f>
        <v>13500</v>
      </c>
      <c r="I169" s="110">
        <f>I164*0.27</f>
        <v>13500</v>
      </c>
    </row>
    <row r="170" spans="1:9" ht="26.45" customHeight="1" x14ac:dyDescent="0.25">
      <c r="A170" s="42" t="s">
        <v>247</v>
      </c>
      <c r="B170" s="32"/>
      <c r="C170" s="32"/>
      <c r="D170" s="32"/>
      <c r="E170" s="32"/>
      <c r="F170" s="120"/>
      <c r="G170" s="120"/>
      <c r="H170" s="127">
        <f>SUM(H171)</f>
        <v>130000</v>
      </c>
      <c r="I170" s="127">
        <f>SUM(I171)</f>
        <v>130000</v>
      </c>
    </row>
    <row r="171" spans="1:9" x14ac:dyDescent="0.25">
      <c r="A171" s="10" t="s">
        <v>25</v>
      </c>
      <c r="B171" s="10" t="s">
        <v>26</v>
      </c>
      <c r="C171" s="10"/>
      <c r="D171" s="10"/>
      <c r="E171" s="10"/>
      <c r="F171" s="112"/>
      <c r="G171" s="106"/>
      <c r="H171" s="107">
        <f>SUM(H175+H182+H178+H172)</f>
        <v>130000</v>
      </c>
      <c r="I171" s="107">
        <f>SUM(I175+I182+I178+I172)</f>
        <v>130000</v>
      </c>
    </row>
    <row r="172" spans="1:9" x14ac:dyDescent="0.25">
      <c r="B172" s="12" t="s">
        <v>165</v>
      </c>
      <c r="D172" s="12" t="s">
        <v>166</v>
      </c>
      <c r="F172" s="115"/>
      <c r="G172" s="115"/>
      <c r="H172" s="13">
        <f>SUM(H173)</f>
        <v>10000</v>
      </c>
      <c r="I172" s="13">
        <f>SUM(I173)</f>
        <v>10000</v>
      </c>
    </row>
    <row r="173" spans="1:9" x14ac:dyDescent="0.25">
      <c r="C173" s="12" t="s">
        <v>170</v>
      </c>
      <c r="D173" s="12" t="s">
        <v>232</v>
      </c>
      <c r="F173" s="108"/>
      <c r="G173" s="108"/>
      <c r="H173" s="110">
        <f>SUM(H174:H174)</f>
        <v>10000</v>
      </c>
      <c r="I173" s="110">
        <f>SUM(I174:I174)</f>
        <v>10000</v>
      </c>
    </row>
    <row r="174" spans="1:9" x14ac:dyDescent="0.25">
      <c r="A174" s="10"/>
      <c r="B174" s="14"/>
      <c r="C174" s="14"/>
      <c r="D174" s="126"/>
      <c r="E174" s="126"/>
      <c r="F174" s="108" t="s">
        <v>228</v>
      </c>
      <c r="G174" s="108"/>
      <c r="H174" s="110">
        <v>10000</v>
      </c>
      <c r="I174" s="110">
        <v>10000</v>
      </c>
    </row>
    <row r="175" spans="1:9" x14ac:dyDescent="0.25">
      <c r="B175" s="12" t="s">
        <v>172</v>
      </c>
      <c r="D175" s="12" t="s">
        <v>173</v>
      </c>
      <c r="F175" s="108"/>
      <c r="G175" s="108"/>
      <c r="H175" s="111">
        <f>SUM(H176)</f>
        <v>50000</v>
      </c>
      <c r="I175" s="111">
        <f>SUM(I176)</f>
        <v>50000</v>
      </c>
    </row>
    <row r="176" spans="1:9" x14ac:dyDescent="0.25">
      <c r="C176" s="12" t="s">
        <v>174</v>
      </c>
      <c r="D176" s="12" t="s">
        <v>175</v>
      </c>
      <c r="F176" s="108"/>
      <c r="G176" s="108"/>
      <c r="H176" s="110">
        <f>SUM(H177:H177)</f>
        <v>50000</v>
      </c>
      <c r="I176" s="110">
        <f>SUM(I177:I177)</f>
        <v>50000</v>
      </c>
    </row>
    <row r="177" spans="1:9" x14ac:dyDescent="0.25">
      <c r="F177" s="108" t="s">
        <v>248</v>
      </c>
      <c r="G177" s="108"/>
      <c r="H177" s="110">
        <v>50000</v>
      </c>
      <c r="I177" s="110">
        <v>50000</v>
      </c>
    </row>
    <row r="178" spans="1:9" s="10" customFormat="1" ht="31.5" customHeight="1" x14ac:dyDescent="0.25">
      <c r="A178" s="4"/>
      <c r="B178" s="12" t="s">
        <v>178</v>
      </c>
      <c r="C178" s="12"/>
      <c r="D178" s="12" t="s">
        <v>179</v>
      </c>
      <c r="E178" s="12"/>
      <c r="F178" s="108"/>
      <c r="G178" s="108"/>
      <c r="H178" s="13">
        <f>SUM(H179+H180)</f>
        <v>45000</v>
      </c>
      <c r="I178" s="13">
        <f>SUM(I179+I180)</f>
        <v>45000</v>
      </c>
    </row>
    <row r="179" spans="1:9" s="10" customFormat="1" x14ac:dyDescent="0.25">
      <c r="A179" s="4"/>
      <c r="B179" s="12"/>
      <c r="C179" s="12" t="s">
        <v>182</v>
      </c>
      <c r="D179" s="12" t="s">
        <v>240</v>
      </c>
      <c r="E179" s="12"/>
      <c r="F179" s="108"/>
      <c r="G179" s="108"/>
      <c r="H179" s="110">
        <v>40000</v>
      </c>
      <c r="I179" s="110">
        <v>40000</v>
      </c>
    </row>
    <row r="180" spans="1:9" x14ac:dyDescent="0.25">
      <c r="C180" s="12" t="s">
        <v>184</v>
      </c>
      <c r="D180" s="12" t="s">
        <v>185</v>
      </c>
      <c r="F180" s="108"/>
      <c r="G180" s="108"/>
      <c r="H180" s="134">
        <v>5000</v>
      </c>
      <c r="I180" s="134">
        <v>5000</v>
      </c>
    </row>
    <row r="181" spans="1:9" x14ac:dyDescent="0.25">
      <c r="F181" s="108" t="s">
        <v>220</v>
      </c>
      <c r="G181" s="108"/>
      <c r="H181" s="110">
        <v>5000</v>
      </c>
      <c r="I181" s="110">
        <v>5000</v>
      </c>
    </row>
    <row r="182" spans="1:9" x14ac:dyDescent="0.25">
      <c r="B182" s="12" t="s">
        <v>191</v>
      </c>
      <c r="D182" s="12" t="s">
        <v>192</v>
      </c>
      <c r="F182" s="108"/>
      <c r="G182" s="108"/>
      <c r="H182" s="111">
        <f>SUM(H183)</f>
        <v>25000</v>
      </c>
      <c r="I182" s="111">
        <f>SUM(I183)</f>
        <v>25000</v>
      </c>
    </row>
    <row r="183" spans="1:9" x14ac:dyDescent="0.25">
      <c r="C183" s="12" t="s">
        <v>193</v>
      </c>
      <c r="D183" s="12" t="s">
        <v>194</v>
      </c>
      <c r="F183" s="108"/>
      <c r="G183" s="108"/>
      <c r="H183" s="110">
        <v>25000</v>
      </c>
      <c r="I183" s="110">
        <v>25000</v>
      </c>
    </row>
    <row r="184" spans="1:9" ht="28.15" customHeight="1" x14ac:dyDescent="0.25">
      <c r="A184" s="42" t="s">
        <v>249</v>
      </c>
      <c r="B184" s="32"/>
      <c r="C184" s="32"/>
      <c r="D184" s="32"/>
      <c r="E184" s="32"/>
      <c r="F184" s="120"/>
      <c r="G184" s="120"/>
      <c r="H184" s="127">
        <f>SUM(H190+H202)</f>
        <v>4000000</v>
      </c>
      <c r="I184" s="127">
        <f>SUM(I185+I188+I190+I202)</f>
        <v>3762042</v>
      </c>
    </row>
    <row r="185" spans="1:9" ht="16.899999999999999" customHeight="1" x14ac:dyDescent="0.25">
      <c r="A185" s="10" t="s">
        <v>21</v>
      </c>
      <c r="B185" s="14" t="s">
        <v>147</v>
      </c>
      <c r="C185" s="14"/>
      <c r="D185" s="14"/>
      <c r="E185" s="14"/>
      <c r="F185" s="106"/>
      <c r="G185" s="106"/>
      <c r="H185" s="107">
        <f>SUM(H186)</f>
        <v>0</v>
      </c>
      <c r="I185" s="107">
        <f>SUM(I186)</f>
        <v>92200</v>
      </c>
    </row>
    <row r="186" spans="1:9" ht="16.149999999999999" customHeight="1" x14ac:dyDescent="0.25">
      <c r="B186" s="12" t="s">
        <v>158</v>
      </c>
      <c r="D186" s="12" t="s">
        <v>159</v>
      </c>
      <c r="F186" s="108"/>
      <c r="G186" s="108"/>
      <c r="H186" s="111">
        <f>SUM(H187:H187)</f>
        <v>0</v>
      </c>
      <c r="I186" s="111">
        <f>SUM(I187:I187)</f>
        <v>92200</v>
      </c>
    </row>
    <row r="187" spans="1:9" ht="16.149999999999999" customHeight="1" x14ac:dyDescent="0.25">
      <c r="C187" s="12" t="s">
        <v>217</v>
      </c>
      <c r="D187" s="12" t="s">
        <v>218</v>
      </c>
      <c r="F187" s="108"/>
      <c r="G187" s="108"/>
      <c r="H187" s="110">
        <v>0</v>
      </c>
      <c r="I187" s="110">
        <v>92200</v>
      </c>
    </row>
    <row r="188" spans="1:9" x14ac:dyDescent="0.25">
      <c r="A188" s="10" t="s">
        <v>23</v>
      </c>
      <c r="B188" s="10" t="s">
        <v>163</v>
      </c>
      <c r="C188" s="10"/>
      <c r="D188" s="10"/>
      <c r="E188" s="10"/>
      <c r="F188" s="112"/>
      <c r="G188" s="113"/>
      <c r="H188" s="107">
        <f>SUM(H189)</f>
        <v>0</v>
      </c>
      <c r="I188" s="107">
        <f>SUM(I189)</f>
        <v>34842</v>
      </c>
    </row>
    <row r="189" spans="1:9" x14ac:dyDescent="0.25">
      <c r="D189" s="12" t="s">
        <v>340</v>
      </c>
      <c r="F189" s="108"/>
      <c r="G189" s="108"/>
      <c r="H189" s="114">
        <v>0</v>
      </c>
      <c r="I189" s="110">
        <f>17707+17135</f>
        <v>34842</v>
      </c>
    </row>
    <row r="190" spans="1:9" x14ac:dyDescent="0.25">
      <c r="A190" s="10" t="s">
        <v>25</v>
      </c>
      <c r="B190" s="10" t="s">
        <v>26</v>
      </c>
      <c r="C190" s="10"/>
      <c r="D190" s="10"/>
      <c r="E190" s="10"/>
      <c r="F190" s="112"/>
      <c r="G190" s="106"/>
      <c r="H190" s="107">
        <f>SUM(H191+H194+H200)</f>
        <v>4000000</v>
      </c>
      <c r="I190" s="107">
        <f>SUM(I191+I194+I200)</f>
        <v>3635000</v>
      </c>
    </row>
    <row r="191" spans="1:9" x14ac:dyDescent="0.25">
      <c r="B191" s="12" t="s">
        <v>165</v>
      </c>
      <c r="D191" s="12" t="s">
        <v>166</v>
      </c>
      <c r="F191" s="115"/>
      <c r="G191" s="115"/>
      <c r="H191" s="111">
        <f>SUM(+H192)</f>
        <v>1500000</v>
      </c>
      <c r="I191" s="111">
        <f>SUM(+I192)</f>
        <v>1400000</v>
      </c>
    </row>
    <row r="192" spans="1:9" x14ac:dyDescent="0.25">
      <c r="C192" s="12" t="s">
        <v>170</v>
      </c>
      <c r="D192" s="12" t="s">
        <v>232</v>
      </c>
      <c r="F192" s="108"/>
      <c r="G192" s="108"/>
      <c r="H192" s="110">
        <f>SUM(H193:H193)</f>
        <v>1500000</v>
      </c>
      <c r="I192" s="110">
        <f>SUM(I193:I193)</f>
        <v>1400000</v>
      </c>
    </row>
    <row r="193" spans="1:9" s="10" customFormat="1" x14ac:dyDescent="0.25">
      <c r="B193" s="14"/>
      <c r="C193" s="14"/>
      <c r="D193" s="126"/>
      <c r="E193" s="126"/>
      <c r="F193" s="108" t="s">
        <v>228</v>
      </c>
      <c r="G193" s="108"/>
      <c r="H193" s="110">
        <v>1500000</v>
      </c>
      <c r="I193" s="110">
        <v>1400000</v>
      </c>
    </row>
    <row r="194" spans="1:9" x14ac:dyDescent="0.25">
      <c r="B194" s="12" t="s">
        <v>178</v>
      </c>
      <c r="D194" s="12" t="s">
        <v>179</v>
      </c>
      <c r="F194" s="108"/>
      <c r="G194" s="108"/>
      <c r="H194" s="111">
        <f>SUM(H195+H197+H198)</f>
        <v>1900000</v>
      </c>
      <c r="I194" s="111">
        <f>SUM(I195:I198)</f>
        <v>1635000</v>
      </c>
    </row>
    <row r="195" spans="1:9" x14ac:dyDescent="0.25">
      <c r="C195" s="12" t="s">
        <v>180</v>
      </c>
      <c r="D195" s="12" t="s">
        <v>181</v>
      </c>
      <c r="F195" s="108"/>
      <c r="G195" s="108"/>
      <c r="H195" s="110">
        <v>600000</v>
      </c>
      <c r="I195" s="110">
        <v>600000</v>
      </c>
    </row>
    <row r="196" spans="1:9" x14ac:dyDescent="0.25">
      <c r="C196" s="12" t="s">
        <v>341</v>
      </c>
      <c r="D196" s="12" t="s">
        <v>342</v>
      </c>
      <c r="F196" s="108"/>
      <c r="G196" s="108"/>
      <c r="H196" s="110">
        <v>0</v>
      </c>
      <c r="I196" s="110">
        <v>35000</v>
      </c>
    </row>
    <row r="197" spans="1:9" s="10" customFormat="1" ht="16.899999999999999" customHeight="1" x14ac:dyDescent="0.25">
      <c r="A197" s="4"/>
      <c r="B197" s="12"/>
      <c r="C197" s="12" t="s">
        <v>182</v>
      </c>
      <c r="D197" s="12" t="s">
        <v>183</v>
      </c>
      <c r="E197" s="12"/>
      <c r="F197" s="108"/>
      <c r="G197" s="108"/>
      <c r="H197" s="110">
        <v>300000</v>
      </c>
      <c r="I197" s="110">
        <v>200000</v>
      </c>
    </row>
    <row r="198" spans="1:9" s="10" customFormat="1" x14ac:dyDescent="0.25">
      <c r="A198" s="4"/>
      <c r="B198" s="12"/>
      <c r="C198" s="12" t="s">
        <v>184</v>
      </c>
      <c r="D198" s="12" t="s">
        <v>185</v>
      </c>
      <c r="E198" s="12"/>
      <c r="F198" s="108"/>
      <c r="G198" s="108"/>
      <c r="H198" s="110">
        <f>H199</f>
        <v>1000000</v>
      </c>
      <c r="I198" s="110">
        <f>I199</f>
        <v>800000</v>
      </c>
    </row>
    <row r="199" spans="1:9" x14ac:dyDescent="0.25">
      <c r="F199" s="108" t="s">
        <v>220</v>
      </c>
      <c r="G199" s="108"/>
      <c r="H199" s="110">
        <v>1000000</v>
      </c>
      <c r="I199" s="110">
        <v>800000</v>
      </c>
    </row>
    <row r="200" spans="1:9" x14ac:dyDescent="0.25">
      <c r="B200" s="12" t="s">
        <v>191</v>
      </c>
      <c r="D200" s="12" t="s">
        <v>192</v>
      </c>
      <c r="F200" s="108"/>
      <c r="G200" s="108"/>
      <c r="H200" s="111">
        <f>SUM(H201)</f>
        <v>600000</v>
      </c>
      <c r="I200" s="111">
        <f>SUM(I201)</f>
        <v>600000</v>
      </c>
    </row>
    <row r="201" spans="1:9" s="10" customFormat="1" ht="14.25" customHeight="1" x14ac:dyDescent="0.25">
      <c r="A201" s="4"/>
      <c r="B201" s="12"/>
      <c r="C201" s="12" t="s">
        <v>193</v>
      </c>
      <c r="D201" s="12" t="s">
        <v>194</v>
      </c>
      <c r="E201" s="12"/>
      <c r="F201" s="12"/>
      <c r="G201" s="133"/>
      <c r="H201" s="35">
        <v>600000</v>
      </c>
      <c r="I201" s="35">
        <v>600000</v>
      </c>
    </row>
    <row r="202" spans="1:9" s="10" customFormat="1" x14ac:dyDescent="0.25">
      <c r="A202" s="10" t="s">
        <v>34</v>
      </c>
      <c r="B202" s="10" t="s">
        <v>35</v>
      </c>
      <c r="F202" s="112"/>
      <c r="G202" s="125"/>
      <c r="H202" s="107">
        <f>SUM(H203:H204)</f>
        <v>0</v>
      </c>
      <c r="I202" s="107">
        <f>SUM(I203:I204)</f>
        <v>0</v>
      </c>
    </row>
    <row r="203" spans="1:9" ht="25.15" customHeight="1" x14ac:dyDescent="0.25">
      <c r="B203" s="12" t="s">
        <v>225</v>
      </c>
      <c r="D203" s="12" t="s">
        <v>250</v>
      </c>
      <c r="F203" s="108"/>
      <c r="G203" s="78"/>
      <c r="H203" s="110">
        <v>0</v>
      </c>
      <c r="I203" s="110">
        <v>0</v>
      </c>
    </row>
    <row r="204" spans="1:9" x14ac:dyDescent="0.25">
      <c r="B204" s="12" t="s">
        <v>226</v>
      </c>
      <c r="D204" s="12" t="s">
        <v>227</v>
      </c>
      <c r="F204" s="108"/>
      <c r="G204" s="78"/>
      <c r="H204" s="110">
        <f>H203*0.27</f>
        <v>0</v>
      </c>
      <c r="I204" s="110">
        <f>I203*0.27</f>
        <v>0</v>
      </c>
    </row>
    <row r="205" spans="1:9" s="10" customFormat="1" ht="21.2" customHeight="1" x14ac:dyDescent="0.25">
      <c r="A205" s="42" t="s">
        <v>251</v>
      </c>
      <c r="B205" s="32"/>
      <c r="C205" s="32"/>
      <c r="D205" s="32"/>
      <c r="E205" s="32"/>
      <c r="F205" s="120"/>
      <c r="G205" s="120"/>
      <c r="H205" s="121">
        <f t="shared" ref="H205:I207" si="0">SUM(H206)</f>
        <v>20000</v>
      </c>
      <c r="I205" s="121">
        <f t="shared" si="0"/>
        <v>20000</v>
      </c>
    </row>
    <row r="206" spans="1:9" s="10" customFormat="1" x14ac:dyDescent="0.25">
      <c r="A206" s="10" t="s">
        <v>29</v>
      </c>
      <c r="B206" s="10" t="s">
        <v>30</v>
      </c>
      <c r="F206" s="112"/>
      <c r="G206" s="106"/>
      <c r="H206" s="107">
        <f t="shared" si="0"/>
        <v>20000</v>
      </c>
      <c r="I206" s="107">
        <f t="shared" si="0"/>
        <v>20000</v>
      </c>
    </row>
    <row r="207" spans="1:9" ht="24.6" customHeight="1" x14ac:dyDescent="0.25">
      <c r="C207" s="12" t="s">
        <v>201</v>
      </c>
      <c r="D207" s="12" t="s">
        <v>202</v>
      </c>
      <c r="F207" s="108"/>
      <c r="G207" s="78"/>
      <c r="H207" s="110">
        <f t="shared" si="0"/>
        <v>20000</v>
      </c>
      <c r="I207" s="110">
        <f t="shared" si="0"/>
        <v>20000</v>
      </c>
    </row>
    <row r="208" spans="1:9" x14ac:dyDescent="0.25">
      <c r="F208" s="108" t="s">
        <v>252</v>
      </c>
      <c r="G208" s="78"/>
      <c r="H208" s="110">
        <v>20000</v>
      </c>
      <c r="I208" s="110">
        <v>20000</v>
      </c>
    </row>
    <row r="209" spans="1:9" x14ac:dyDescent="0.25">
      <c r="A209" s="42" t="s">
        <v>253</v>
      </c>
      <c r="B209" s="32"/>
      <c r="C209" s="32"/>
      <c r="D209" s="32"/>
      <c r="E209" s="32"/>
      <c r="F209" s="120"/>
      <c r="G209" s="120"/>
      <c r="H209" s="121">
        <f t="shared" ref="H209:I211" si="1">SUM(H210)</f>
        <v>30000</v>
      </c>
      <c r="I209" s="121">
        <f t="shared" si="1"/>
        <v>30000</v>
      </c>
    </row>
    <row r="210" spans="1:9" s="10" customFormat="1" ht="19.149999999999999" customHeight="1" x14ac:dyDescent="0.25">
      <c r="A210" s="10" t="s">
        <v>29</v>
      </c>
      <c r="B210" s="10" t="s">
        <v>30</v>
      </c>
      <c r="F210" s="112"/>
      <c r="G210" s="106"/>
      <c r="H210" s="107">
        <f t="shared" si="1"/>
        <v>30000</v>
      </c>
      <c r="I210" s="107">
        <f t="shared" si="1"/>
        <v>30000</v>
      </c>
    </row>
    <row r="211" spans="1:9" s="10" customFormat="1" ht="31.15" customHeight="1" x14ac:dyDescent="0.25">
      <c r="A211" s="4"/>
      <c r="B211" s="12"/>
      <c r="C211" s="12" t="s">
        <v>201</v>
      </c>
      <c r="D211" s="12" t="s">
        <v>202</v>
      </c>
      <c r="E211" s="12"/>
      <c r="F211" s="108"/>
      <c r="G211" s="78"/>
      <c r="H211" s="110">
        <f t="shared" si="1"/>
        <v>30000</v>
      </c>
      <c r="I211" s="110">
        <f t="shared" si="1"/>
        <v>30000</v>
      </c>
    </row>
    <row r="212" spans="1:9" x14ac:dyDescent="0.25">
      <c r="F212" s="108" t="s">
        <v>252</v>
      </c>
      <c r="G212" s="78"/>
      <c r="H212" s="110">
        <v>30000</v>
      </c>
      <c r="I212" s="110">
        <v>30000</v>
      </c>
    </row>
    <row r="213" spans="1:9" ht="24.6" customHeight="1" x14ac:dyDescent="0.25">
      <c r="A213" s="42" t="s">
        <v>254</v>
      </c>
      <c r="B213" s="32"/>
      <c r="C213" s="32"/>
      <c r="D213" s="32"/>
      <c r="E213" s="32"/>
      <c r="F213" s="120"/>
      <c r="G213" s="120"/>
      <c r="H213" s="121">
        <f>H214</f>
        <v>48100</v>
      </c>
      <c r="I213" s="121">
        <f>I214</f>
        <v>95000</v>
      </c>
    </row>
    <row r="214" spans="1:9" x14ac:dyDescent="0.25">
      <c r="A214" s="10" t="s">
        <v>25</v>
      </c>
      <c r="B214" s="10" t="s">
        <v>26</v>
      </c>
      <c r="C214" s="10"/>
      <c r="D214" s="10"/>
      <c r="E214" s="10"/>
      <c r="F214" s="112"/>
      <c r="G214" s="106"/>
      <c r="H214" s="128">
        <f>H215+H220</f>
        <v>48100</v>
      </c>
      <c r="I214" s="107">
        <f>I215+I220</f>
        <v>95000</v>
      </c>
    </row>
    <row r="215" spans="1:9" x14ac:dyDescent="0.25">
      <c r="B215" s="12" t="s">
        <v>165</v>
      </c>
      <c r="D215" s="12" t="s">
        <v>166</v>
      </c>
      <c r="F215" s="115"/>
      <c r="G215" s="115"/>
      <c r="H215" s="111">
        <f>H216+H218</f>
        <v>40000</v>
      </c>
      <c r="I215" s="111">
        <f>I216+I218</f>
        <v>80000</v>
      </c>
    </row>
    <row r="216" spans="1:9" x14ac:dyDescent="0.25">
      <c r="C216" s="12" t="s">
        <v>170</v>
      </c>
      <c r="D216" s="12" t="s">
        <v>171</v>
      </c>
      <c r="F216" s="108"/>
      <c r="G216" s="108"/>
      <c r="H216" s="110">
        <f>SUM(H217:H217)</f>
        <v>20000</v>
      </c>
      <c r="I216" s="110">
        <f>SUM(I217:I217)</f>
        <v>60000</v>
      </c>
    </row>
    <row r="217" spans="1:9" x14ac:dyDescent="0.25">
      <c r="A217" s="10"/>
      <c r="B217" s="14"/>
      <c r="C217" s="14"/>
      <c r="D217" s="126"/>
      <c r="E217" s="126"/>
      <c r="F217" s="108" t="s">
        <v>228</v>
      </c>
      <c r="G217" s="108"/>
      <c r="H217" s="110">
        <v>20000</v>
      </c>
      <c r="I217" s="110">
        <v>60000</v>
      </c>
    </row>
    <row r="218" spans="1:9" x14ac:dyDescent="0.25">
      <c r="C218" s="12" t="s">
        <v>184</v>
      </c>
      <c r="D218" s="12" t="s">
        <v>185</v>
      </c>
      <c r="F218" s="108"/>
      <c r="G218" s="78"/>
      <c r="H218" s="110">
        <f>SUM(H219)</f>
        <v>20000</v>
      </c>
      <c r="I218" s="110">
        <f>SUM(I219)</f>
        <v>20000</v>
      </c>
    </row>
    <row r="219" spans="1:9" x14ac:dyDescent="0.25">
      <c r="F219" s="108" t="s">
        <v>220</v>
      </c>
      <c r="G219" s="78"/>
      <c r="H219" s="110">
        <v>20000</v>
      </c>
      <c r="I219" s="110">
        <v>20000</v>
      </c>
    </row>
    <row r="220" spans="1:9" s="10" customFormat="1" ht="22.9" customHeight="1" x14ac:dyDescent="0.25">
      <c r="A220" s="4"/>
      <c r="B220" s="12" t="s">
        <v>191</v>
      </c>
      <c r="C220" s="12"/>
      <c r="D220" s="12" t="s">
        <v>192</v>
      </c>
      <c r="E220" s="12"/>
      <c r="F220" s="108"/>
      <c r="G220" s="108"/>
      <c r="H220" s="111">
        <f>H221</f>
        <v>8100</v>
      </c>
      <c r="I220" s="111">
        <f>I221</f>
        <v>15000</v>
      </c>
    </row>
    <row r="221" spans="1:9" x14ac:dyDescent="0.25">
      <c r="C221" s="12" t="s">
        <v>193</v>
      </c>
      <c r="D221" s="12" t="s">
        <v>194</v>
      </c>
      <c r="H221" s="35">
        <v>8100</v>
      </c>
      <c r="I221" s="35">
        <v>15000</v>
      </c>
    </row>
    <row r="222" spans="1:9" ht="22.15" customHeight="1" x14ac:dyDescent="0.25">
      <c r="A222" s="302" t="s">
        <v>79</v>
      </c>
      <c r="B222" s="302"/>
      <c r="C222" s="302"/>
      <c r="D222" s="302"/>
      <c r="E222" s="302"/>
      <c r="F222" s="302"/>
      <c r="G222" s="120"/>
      <c r="H222" s="121">
        <f>SUM(H223)</f>
        <v>0</v>
      </c>
      <c r="I222" s="121">
        <f>SUM(I223)</f>
        <v>24000</v>
      </c>
    </row>
    <row r="223" spans="1:9" ht="26.45" customHeight="1" x14ac:dyDescent="0.25">
      <c r="A223" s="10" t="s">
        <v>29</v>
      </c>
      <c r="B223" s="10" t="s">
        <v>30</v>
      </c>
      <c r="C223" s="10"/>
      <c r="D223" s="10"/>
      <c r="E223" s="10"/>
      <c r="F223" s="112"/>
      <c r="G223" s="106"/>
      <c r="H223" s="107">
        <f>SUM(H224)</f>
        <v>0</v>
      </c>
      <c r="I223" s="288">
        <f>SUM(I224)</f>
        <v>24000</v>
      </c>
    </row>
    <row r="224" spans="1:9" ht="17.45" customHeight="1" x14ac:dyDescent="0.25">
      <c r="C224" s="12" t="s">
        <v>255</v>
      </c>
      <c r="D224" s="12" t="s">
        <v>256</v>
      </c>
      <c r="F224" s="108"/>
      <c r="G224" s="78"/>
      <c r="H224" s="110">
        <v>0</v>
      </c>
      <c r="I224" s="110">
        <v>24000</v>
      </c>
    </row>
    <row r="225" spans="1:9" ht="25.15" customHeight="1" x14ac:dyDescent="0.25">
      <c r="A225" s="295" t="s">
        <v>113</v>
      </c>
      <c r="B225" s="295"/>
      <c r="C225" s="295"/>
      <c r="D225" s="295"/>
      <c r="E225" s="295"/>
      <c r="F225" s="295"/>
      <c r="G225" s="295"/>
      <c r="H225" s="121">
        <f>H226+H231+H234</f>
        <v>8489718.8599999994</v>
      </c>
      <c r="I225" s="121">
        <f>I226+I231+I234</f>
        <v>20138425.539999999</v>
      </c>
    </row>
    <row r="226" spans="1:9" x14ac:dyDescent="0.25">
      <c r="A226" s="10" t="s">
        <v>25</v>
      </c>
      <c r="B226" s="10" t="s">
        <v>26</v>
      </c>
      <c r="C226" s="10"/>
      <c r="D226" s="10"/>
      <c r="E226" s="10"/>
      <c r="F226" s="112"/>
      <c r="G226" s="106"/>
      <c r="H226" s="107">
        <f>H227+H229</f>
        <v>0</v>
      </c>
      <c r="I226" s="107">
        <f>I227+I229</f>
        <v>16510</v>
      </c>
    </row>
    <row r="227" spans="1:9" x14ac:dyDescent="0.25">
      <c r="B227" s="12" t="s">
        <v>165</v>
      </c>
      <c r="D227" s="12" t="s">
        <v>166</v>
      </c>
      <c r="F227" s="115"/>
      <c r="G227" s="115"/>
      <c r="H227" s="111">
        <f>SUM(H228+H230)</f>
        <v>0</v>
      </c>
      <c r="I227" s="111">
        <f>I228</f>
        <v>13000</v>
      </c>
    </row>
    <row r="228" spans="1:9" x14ac:dyDescent="0.25">
      <c r="C228" s="12" t="s">
        <v>167</v>
      </c>
      <c r="D228" s="12" t="s">
        <v>168</v>
      </c>
      <c r="F228" s="115"/>
      <c r="G228" s="115"/>
      <c r="H228" s="110">
        <f>SUM(H229)</f>
        <v>0</v>
      </c>
      <c r="I228" s="110">
        <v>13000</v>
      </c>
    </row>
    <row r="229" spans="1:9" x14ac:dyDescent="0.25">
      <c r="B229" s="12" t="s">
        <v>191</v>
      </c>
      <c r="D229" s="12" t="s">
        <v>192</v>
      </c>
      <c r="F229" s="108"/>
      <c r="G229" s="108"/>
      <c r="H229" s="13">
        <v>0</v>
      </c>
      <c r="I229" s="13">
        <f>SUM(I230)</f>
        <v>3510</v>
      </c>
    </row>
    <row r="230" spans="1:9" x14ac:dyDescent="0.25">
      <c r="C230" s="12" t="s">
        <v>193</v>
      </c>
      <c r="D230" s="12" t="s">
        <v>194</v>
      </c>
      <c r="F230" s="108"/>
      <c r="G230" s="108"/>
      <c r="H230" s="110">
        <v>0</v>
      </c>
      <c r="I230" s="110">
        <v>3510</v>
      </c>
    </row>
    <row r="231" spans="1:9" s="10" customFormat="1" ht="17.45" customHeight="1" x14ac:dyDescent="0.25">
      <c r="A231" s="10" t="s">
        <v>32</v>
      </c>
      <c r="B231" s="14" t="s">
        <v>33</v>
      </c>
      <c r="C231" s="12"/>
      <c r="D231" s="12"/>
      <c r="E231" s="12"/>
      <c r="F231" s="108"/>
      <c r="G231" s="108"/>
      <c r="H231" s="107">
        <f>SUM(H232:H233)</f>
        <v>0</v>
      </c>
      <c r="I231" s="107">
        <f>SUM(I232:I233)</f>
        <v>999999.54</v>
      </c>
    </row>
    <row r="232" spans="1:9" s="7" customFormat="1" ht="19.149999999999999" customHeight="1" x14ac:dyDescent="0.25">
      <c r="A232" s="4"/>
      <c r="B232" s="12" t="s">
        <v>221</v>
      </c>
      <c r="C232" s="10"/>
      <c r="D232" s="12" t="s">
        <v>335</v>
      </c>
      <c r="E232" s="10"/>
      <c r="F232" s="124"/>
      <c r="G232" s="110"/>
      <c r="H232" s="110">
        <v>0</v>
      </c>
      <c r="I232" s="110">
        <v>787402</v>
      </c>
    </row>
    <row r="233" spans="1:9" x14ac:dyDescent="0.25">
      <c r="B233" s="12" t="s">
        <v>223</v>
      </c>
      <c r="D233" s="12" t="s">
        <v>224</v>
      </c>
      <c r="F233" s="108"/>
      <c r="G233" s="108"/>
      <c r="H233" s="110">
        <f>H232*0.27</f>
        <v>0</v>
      </c>
      <c r="I233" s="110">
        <f>I232*0.27-1</f>
        <v>212597.54</v>
      </c>
    </row>
    <row r="234" spans="1:9" x14ac:dyDescent="0.25">
      <c r="A234" s="10" t="s">
        <v>34</v>
      </c>
      <c r="B234" s="10" t="s">
        <v>35</v>
      </c>
      <c r="C234" s="10"/>
      <c r="D234" s="10"/>
      <c r="E234" s="10"/>
      <c r="F234" s="112"/>
      <c r="G234" s="125"/>
      <c r="H234" s="107">
        <f>SUM(H235:H237)</f>
        <v>8489718.8599999994</v>
      </c>
      <c r="I234" s="107">
        <f>SUM(I235:I237)</f>
        <v>19121916</v>
      </c>
    </row>
    <row r="235" spans="1:9" x14ac:dyDescent="0.25">
      <c r="B235" s="12" t="s">
        <v>225</v>
      </c>
      <c r="D235" s="12" t="s">
        <v>336</v>
      </c>
      <c r="F235" s="108"/>
      <c r="G235" s="78"/>
      <c r="H235" s="110">
        <v>6684818</v>
      </c>
      <c r="I235" s="110">
        <v>10216019</v>
      </c>
    </row>
    <row r="236" spans="1:9" x14ac:dyDescent="0.25">
      <c r="B236" s="12" t="s">
        <v>225</v>
      </c>
      <c r="D236" s="12" t="s">
        <v>337</v>
      </c>
      <c r="F236" s="108"/>
      <c r="G236" s="78"/>
      <c r="H236" s="110">
        <v>0</v>
      </c>
      <c r="I236" s="110">
        <f>4403600+425000+130000</f>
        <v>4958600</v>
      </c>
    </row>
    <row r="237" spans="1:9" x14ac:dyDescent="0.25">
      <c r="B237" s="12" t="s">
        <v>226</v>
      </c>
      <c r="D237" s="12" t="s">
        <v>227</v>
      </c>
      <c r="F237" s="108"/>
      <c r="G237" s="78"/>
      <c r="H237" s="110">
        <f>H235*0.27</f>
        <v>1804900.86</v>
      </c>
      <c r="I237" s="110">
        <f>2758325+1188972</f>
        <v>3947297</v>
      </c>
    </row>
    <row r="238" spans="1:9" x14ac:dyDescent="0.25">
      <c r="A238" s="42" t="s">
        <v>257</v>
      </c>
      <c r="B238" s="32"/>
      <c r="C238" s="32"/>
      <c r="D238" s="32"/>
      <c r="E238" s="32"/>
      <c r="F238" s="139"/>
      <c r="G238" s="129">
        <f>SUM(G10+G118+G137)</f>
        <v>6</v>
      </c>
      <c r="H238" s="127">
        <f>SUM(H10+H45+H48+H60+H84+H99+H111+H118+H137+H149+H161+H170+H184+H205+H209+H213+H222+H225)</f>
        <v>101507450.56</v>
      </c>
      <c r="I238" s="127">
        <f>SUM(I10+I45+I48+I60+I84+I99+I111+I118+I137+I149+I161+I170+I184+I205+I209+I213+I222+I225)</f>
        <v>110523739.34</v>
      </c>
    </row>
    <row r="239" spans="1:9" x14ac:dyDescent="0.25">
      <c r="A239" s="54" t="s">
        <v>21</v>
      </c>
      <c r="B239" s="53" t="s">
        <v>147</v>
      </c>
      <c r="C239" s="53"/>
      <c r="D239" s="53"/>
      <c r="E239" s="53"/>
      <c r="F239" s="140"/>
      <c r="G239" s="138" t="s">
        <v>21</v>
      </c>
      <c r="H239" s="138">
        <f>H11+H61+H119+H138</f>
        <v>13662096</v>
      </c>
      <c r="I239" s="138">
        <f>I11+I61+I119+I138+I185</f>
        <v>13699320</v>
      </c>
    </row>
    <row r="240" spans="1:9" x14ac:dyDescent="0.25">
      <c r="A240" s="54" t="s">
        <v>23</v>
      </c>
      <c r="B240" s="58" t="s">
        <v>163</v>
      </c>
      <c r="C240" s="58"/>
      <c r="D240" s="58"/>
      <c r="E240" s="58"/>
      <c r="F240" s="141"/>
      <c r="G240" s="138" t="s">
        <v>23</v>
      </c>
      <c r="H240" s="138">
        <f>H20+H65+H125+H142</f>
        <v>2120979</v>
      </c>
      <c r="I240" s="138">
        <f>I20+I65+I125+I142+I188</f>
        <v>2180502</v>
      </c>
    </row>
    <row r="241" spans="1:10" x14ac:dyDescent="0.25">
      <c r="A241" s="54" t="s">
        <v>25</v>
      </c>
      <c r="B241" s="58" t="s">
        <v>26</v>
      </c>
      <c r="C241" s="58"/>
      <c r="D241" s="58"/>
      <c r="E241" s="58"/>
      <c r="F241" s="141"/>
      <c r="G241" s="138" t="s">
        <v>25</v>
      </c>
      <c r="H241" s="138">
        <f>H22+H67+H85+H100+H112+H127+H144+H150+H162+H171+H190+H214</f>
        <v>15127600</v>
      </c>
      <c r="I241" s="138">
        <f>I22+I67+I85+I100+I112+I127+I144+I150+I162+I171+I190+I214+I226</f>
        <v>14401010</v>
      </c>
    </row>
    <row r="242" spans="1:10" x14ac:dyDescent="0.25">
      <c r="A242" s="54" t="s">
        <v>27</v>
      </c>
      <c r="B242" s="58" t="s">
        <v>242</v>
      </c>
      <c r="C242" s="58"/>
      <c r="D242" s="58"/>
      <c r="E242" s="58"/>
      <c r="F242" s="141"/>
      <c r="G242" s="138" t="s">
        <v>27</v>
      </c>
      <c r="H242" s="138">
        <f>H158</f>
        <v>2950000</v>
      </c>
      <c r="I242" s="138">
        <f>I158</f>
        <v>2950000</v>
      </c>
    </row>
    <row r="243" spans="1:10" x14ac:dyDescent="0.25">
      <c r="A243" s="54" t="s">
        <v>29</v>
      </c>
      <c r="B243" s="58" t="s">
        <v>30</v>
      </c>
      <c r="C243" s="58"/>
      <c r="D243" s="58"/>
      <c r="E243" s="58"/>
      <c r="F243" s="141"/>
      <c r="G243" s="138" t="s">
        <v>29</v>
      </c>
      <c r="H243" s="138">
        <f>H41+H52+H206+H210+H223</f>
        <v>22311890</v>
      </c>
      <c r="I243" s="138">
        <f>I41+I52+I206+I210+I223</f>
        <v>16600375</v>
      </c>
    </row>
    <row r="244" spans="1:10" x14ac:dyDescent="0.25">
      <c r="A244" s="54" t="s">
        <v>32</v>
      </c>
      <c r="B244" s="58" t="s">
        <v>33</v>
      </c>
      <c r="C244" s="58"/>
      <c r="D244" s="58"/>
      <c r="E244" s="58"/>
      <c r="F244" s="141"/>
      <c r="G244" s="138" t="s">
        <v>32</v>
      </c>
      <c r="H244" s="138">
        <f>H78+H96+H108+H231</f>
        <v>700000.10000000009</v>
      </c>
      <c r="I244" s="138">
        <f>I78+I96+I108+I231</f>
        <v>1794399.74</v>
      </c>
      <c r="J244" s="3"/>
    </row>
    <row r="245" spans="1:10" x14ac:dyDescent="0.25">
      <c r="A245" s="54" t="s">
        <v>34</v>
      </c>
      <c r="B245" s="58" t="s">
        <v>35</v>
      </c>
      <c r="C245" s="58"/>
      <c r="D245" s="58"/>
      <c r="E245" s="58"/>
      <c r="F245" s="141"/>
      <c r="G245" s="138" t="s">
        <v>34</v>
      </c>
      <c r="H245" s="138">
        <f>H81+H202+H234</f>
        <v>8689718.459999999</v>
      </c>
      <c r="I245" s="138">
        <f>I81+I202+I234</f>
        <v>19321915.600000001</v>
      </c>
      <c r="J245" s="3"/>
    </row>
    <row r="246" spans="1:10" x14ac:dyDescent="0.25">
      <c r="A246" s="54" t="s">
        <v>36</v>
      </c>
      <c r="B246" s="53" t="s">
        <v>37</v>
      </c>
      <c r="C246" s="53"/>
      <c r="D246" s="53"/>
      <c r="E246" s="53"/>
      <c r="F246" s="140"/>
      <c r="G246" s="138" t="s">
        <v>36</v>
      </c>
      <c r="H246" s="138">
        <f>H46+H49</f>
        <v>35945167</v>
      </c>
      <c r="I246" s="138">
        <f>I46+I49</f>
        <v>39576217</v>
      </c>
    </row>
    <row r="247" spans="1:10" x14ac:dyDescent="0.25">
      <c r="A247" s="62" t="s">
        <v>258</v>
      </c>
      <c r="B247" s="142"/>
      <c r="C247" s="142"/>
      <c r="D247" s="142"/>
      <c r="E247" s="142"/>
      <c r="F247" s="143"/>
      <c r="G247" s="143"/>
      <c r="H247" s="144">
        <f>SUM(H239:H246)</f>
        <v>101507450.56</v>
      </c>
      <c r="I247" s="144">
        <f>SUM(I239:I246)</f>
        <v>110523739.34</v>
      </c>
    </row>
    <row r="248" spans="1:10" x14ac:dyDescent="0.25">
      <c r="A248" s="7"/>
      <c r="B248" s="145"/>
      <c r="C248" s="145"/>
      <c r="D248" s="145"/>
      <c r="E248" s="145"/>
      <c r="F248" s="145"/>
      <c r="G248" s="145"/>
    </row>
    <row r="249" spans="1:10" x14ac:dyDescent="0.25">
      <c r="H249" s="35"/>
      <c r="I249" s="35"/>
    </row>
    <row r="250" spans="1:10" x14ac:dyDescent="0.25">
      <c r="H250" s="146"/>
      <c r="I250" s="146"/>
    </row>
    <row r="251" spans="1:10" x14ac:dyDescent="0.25">
      <c r="H251" s="146"/>
      <c r="I251" s="146"/>
    </row>
  </sheetData>
  <sheetProtection selectLockedCells="1" selectUnlockedCells="1"/>
  <mergeCells count="14">
    <mergeCell ref="A1:I1"/>
    <mergeCell ref="A2:I2"/>
    <mergeCell ref="A4:I4"/>
    <mergeCell ref="A225:G225"/>
    <mergeCell ref="A222:F222"/>
    <mergeCell ref="A5:I5"/>
    <mergeCell ref="A6:I6"/>
    <mergeCell ref="A10:F10"/>
    <mergeCell ref="A48:F48"/>
    <mergeCell ref="A60:F60"/>
    <mergeCell ref="A84:F84"/>
    <mergeCell ref="A111:F111"/>
    <mergeCell ref="A8:F9"/>
    <mergeCell ref="G8:G9"/>
  </mergeCells>
  <printOptions horizontalCentered="1" headings="1" gridLines="1"/>
  <pageMargins left="0.27569444444444446" right="0.27569444444444446" top="0.78749999999999998" bottom="0.78749999999999998" header="0.51180555555555551" footer="0.51180555555555551"/>
  <pageSetup paperSize="9" scale="67" firstPageNumber="0" orientation="portrait" verticalDpi="300" r:id="rId1"/>
  <headerFooter alignWithMargins="0">
    <oddFooter>&amp;C&amp;P. oldal, összesen: &amp;N</oddFooter>
  </headerFooter>
  <rowBreaks count="4" manualBreakCount="4">
    <brk id="59" max="16383" man="1"/>
    <brk id="117" max="16383" man="1"/>
    <brk id="169" max="16383" man="1"/>
    <brk id="2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zoomScale="110" zoomScaleNormal="110" zoomScaleSheetLayoutView="120" workbookViewId="0">
      <selection sqref="A1:E1"/>
    </sheetView>
  </sheetViews>
  <sheetFormatPr defaultColWidth="9.140625" defaultRowHeight="12.75" x14ac:dyDescent="0.2"/>
  <cols>
    <col min="1" max="1" width="82" style="83" customWidth="1"/>
    <col min="2" max="2" width="13.5703125" style="83" customWidth="1"/>
    <col min="3" max="3" width="13.140625" style="83" customWidth="1"/>
    <col min="4" max="4" width="14.7109375" style="83" customWidth="1"/>
    <col min="5" max="5" width="15.7109375" style="83" customWidth="1"/>
    <col min="6" max="16384" width="9.140625" style="83"/>
  </cols>
  <sheetData>
    <row r="1" spans="1:5" ht="15.75" x14ac:dyDescent="0.25">
      <c r="A1" s="308" t="s">
        <v>370</v>
      </c>
      <c r="B1" s="308"/>
      <c r="C1" s="308"/>
      <c r="D1" s="308"/>
      <c r="E1" s="308"/>
    </row>
    <row r="2" spans="1:5" ht="15.75" x14ac:dyDescent="0.25">
      <c r="A2" s="308" t="s">
        <v>357</v>
      </c>
      <c r="B2" s="308"/>
      <c r="C2" s="308"/>
      <c r="D2" s="308"/>
      <c r="E2" s="308"/>
    </row>
    <row r="3" spans="1:5" s="84" customFormat="1" ht="15.75" x14ac:dyDescent="0.25">
      <c r="A3" s="308"/>
      <c r="B3" s="308"/>
      <c r="C3" s="308"/>
      <c r="D3" s="308"/>
      <c r="E3" s="308"/>
    </row>
    <row r="4" spans="1:5" s="84" customFormat="1" ht="24" customHeight="1" x14ac:dyDescent="0.2">
      <c r="A4" s="309" t="s">
        <v>259</v>
      </c>
      <c r="B4" s="309"/>
      <c r="C4" s="309"/>
      <c r="D4" s="309"/>
      <c r="E4" s="309"/>
    </row>
    <row r="5" spans="1:5" s="84" customFormat="1" ht="25.5" customHeight="1" x14ac:dyDescent="0.2">
      <c r="A5" s="309" t="s">
        <v>260</v>
      </c>
      <c r="B5" s="309"/>
      <c r="C5" s="309"/>
      <c r="D5" s="309"/>
      <c r="E5" s="309"/>
    </row>
    <row r="6" spans="1:5" s="84" customFormat="1" ht="47.25" x14ac:dyDescent="0.2">
      <c r="A6" s="87" t="s">
        <v>261</v>
      </c>
      <c r="B6" s="88" t="s">
        <v>135</v>
      </c>
      <c r="C6" s="88" t="s">
        <v>136</v>
      </c>
      <c r="D6" s="88" t="s">
        <v>137</v>
      </c>
      <c r="E6" s="88" t="s">
        <v>138</v>
      </c>
    </row>
    <row r="7" spans="1:5" s="84" customFormat="1" ht="15.75" x14ac:dyDescent="0.25">
      <c r="A7" s="93" t="s">
        <v>262</v>
      </c>
      <c r="B7" s="92">
        <f>'5.kiadás'!I10</f>
        <v>19809738</v>
      </c>
      <c r="C7" s="92">
        <v>0</v>
      </c>
      <c r="D7" s="92">
        <v>0</v>
      </c>
      <c r="E7" s="92">
        <f t="shared" ref="E7:E25" si="0">SUM(B7:D7)</f>
        <v>19809738</v>
      </c>
    </row>
    <row r="8" spans="1:5" s="84" customFormat="1" ht="15.75" x14ac:dyDescent="0.25">
      <c r="A8" s="93" t="s">
        <v>109</v>
      </c>
      <c r="B8" s="92">
        <f>'5.kiadás'!I45</f>
        <v>3900000</v>
      </c>
      <c r="C8" s="92">
        <v>0</v>
      </c>
      <c r="D8" s="92">
        <v>0</v>
      </c>
      <c r="E8" s="92">
        <f t="shared" si="0"/>
        <v>3900000</v>
      </c>
    </row>
    <row r="9" spans="1:5" s="84" customFormat="1" ht="15.75" x14ac:dyDescent="0.25">
      <c r="A9" s="93" t="s">
        <v>52</v>
      </c>
      <c r="B9" s="92">
        <f>'5.kiadás'!I48-'11.Idősek Otthona bevétel'!G31</f>
        <v>7930091</v>
      </c>
      <c r="C9" s="92">
        <v>0</v>
      </c>
      <c r="D9" s="92">
        <v>0</v>
      </c>
      <c r="E9" s="92">
        <f t="shared" si="0"/>
        <v>7930091</v>
      </c>
    </row>
    <row r="10" spans="1:5" s="84" customFormat="1" ht="15.75" x14ac:dyDescent="0.25">
      <c r="A10" s="93" t="s">
        <v>140</v>
      </c>
      <c r="B10" s="92">
        <f>'5.kiadás'!I60</f>
        <v>3201473.5</v>
      </c>
      <c r="C10" s="92">
        <v>0</v>
      </c>
      <c r="D10" s="92">
        <v>0</v>
      </c>
      <c r="E10" s="92">
        <f t="shared" si="0"/>
        <v>3201473.5</v>
      </c>
    </row>
    <row r="11" spans="1:5" s="84" customFormat="1" ht="15.75" x14ac:dyDescent="0.25">
      <c r="A11" s="93" t="s">
        <v>78</v>
      </c>
      <c r="B11" s="92">
        <f>'5.kiadás'!I84</f>
        <v>939500</v>
      </c>
      <c r="C11" s="92">
        <v>0</v>
      </c>
      <c r="D11" s="92">
        <v>0</v>
      </c>
      <c r="E11" s="92">
        <f t="shared" si="0"/>
        <v>939500</v>
      </c>
    </row>
    <row r="12" spans="1:5" s="84" customFormat="1" ht="15.75" x14ac:dyDescent="0.25">
      <c r="A12" s="89" t="s">
        <v>263</v>
      </c>
      <c r="B12" s="92">
        <f>'5.kiadás'!I99</f>
        <v>764900.3</v>
      </c>
      <c r="C12" s="92">
        <v>0</v>
      </c>
      <c r="D12" s="92">
        <v>0</v>
      </c>
      <c r="E12" s="92">
        <f t="shared" si="0"/>
        <v>764900.3</v>
      </c>
    </row>
    <row r="13" spans="1:5" s="84" customFormat="1" ht="15.75" x14ac:dyDescent="0.25">
      <c r="A13" s="93" t="s">
        <v>264</v>
      </c>
      <c r="B13" s="92">
        <f>'5.kiadás'!I111</f>
        <v>762000</v>
      </c>
      <c r="C13" s="92">
        <v>0</v>
      </c>
      <c r="D13" s="92">
        <v>0</v>
      </c>
      <c r="E13" s="92">
        <f t="shared" si="0"/>
        <v>762000</v>
      </c>
    </row>
    <row r="14" spans="1:5" s="84" customFormat="1" ht="15.75" x14ac:dyDescent="0.25">
      <c r="A14" s="89" t="s">
        <v>265</v>
      </c>
      <c r="B14" s="92">
        <f>'5.kiadás'!I118</f>
        <v>5097302</v>
      </c>
      <c r="C14" s="92">
        <v>0</v>
      </c>
      <c r="D14" s="92">
        <v>0</v>
      </c>
      <c r="E14" s="92">
        <f t="shared" si="0"/>
        <v>5097302</v>
      </c>
    </row>
    <row r="15" spans="1:5" s="84" customFormat="1" ht="15.75" x14ac:dyDescent="0.25">
      <c r="A15" s="89" t="s">
        <v>122</v>
      </c>
      <c r="B15" s="92">
        <f>'5.kiadás'!I137+'12.Idősek Otthona kiadás'!H44</f>
        <v>4645313</v>
      </c>
      <c r="C15" s="92">
        <v>0</v>
      </c>
      <c r="D15" s="92">
        <v>0</v>
      </c>
      <c r="E15" s="92">
        <f t="shared" si="0"/>
        <v>4645313</v>
      </c>
    </row>
    <row r="16" spans="1:5" s="84" customFormat="1" ht="15.75" x14ac:dyDescent="0.25">
      <c r="A16" s="89" t="s">
        <v>241</v>
      </c>
      <c r="B16" s="92">
        <f>'5.kiadás'!I149</f>
        <v>4750000</v>
      </c>
      <c r="C16" s="92">
        <v>0</v>
      </c>
      <c r="D16" s="92">
        <v>0</v>
      </c>
      <c r="E16" s="92">
        <f t="shared" si="0"/>
        <v>4750000</v>
      </c>
    </row>
    <row r="17" spans="1:5" s="84" customFormat="1" ht="15.75" x14ac:dyDescent="0.25">
      <c r="A17" s="89" t="s">
        <v>246</v>
      </c>
      <c r="B17" s="92">
        <f>'5.kiadás'!I161</f>
        <v>63500</v>
      </c>
      <c r="C17" s="92">
        <v>0</v>
      </c>
      <c r="D17" s="92">
        <v>0</v>
      </c>
      <c r="E17" s="92">
        <f t="shared" si="0"/>
        <v>63500</v>
      </c>
    </row>
    <row r="18" spans="1:5" s="84" customFormat="1" ht="15.75" x14ac:dyDescent="0.25">
      <c r="A18" s="89" t="s">
        <v>247</v>
      </c>
      <c r="B18" s="92">
        <v>0</v>
      </c>
      <c r="C18" s="92">
        <f>'5.kiadás'!I170</f>
        <v>130000</v>
      </c>
      <c r="D18" s="92">
        <v>0</v>
      </c>
      <c r="E18" s="92">
        <f t="shared" si="0"/>
        <v>130000</v>
      </c>
    </row>
    <row r="19" spans="1:5" s="84" customFormat="1" ht="15.75" x14ac:dyDescent="0.25">
      <c r="A19" s="89" t="s">
        <v>266</v>
      </c>
      <c r="B19" s="92"/>
      <c r="C19" s="92">
        <f>'5.kiadás'!I184</f>
        <v>3762042</v>
      </c>
      <c r="D19" s="92">
        <v>0</v>
      </c>
      <c r="E19" s="92">
        <f t="shared" si="0"/>
        <v>3762042</v>
      </c>
    </row>
    <row r="20" spans="1:5" s="84" customFormat="1" ht="15.75" x14ac:dyDescent="0.25">
      <c r="A20" s="89" t="s">
        <v>251</v>
      </c>
      <c r="B20" s="92">
        <f>'5.kiadás'!I205</f>
        <v>20000</v>
      </c>
      <c r="C20" s="92">
        <v>0</v>
      </c>
      <c r="D20" s="92">
        <v>0</v>
      </c>
      <c r="E20" s="92">
        <f t="shared" si="0"/>
        <v>20000</v>
      </c>
    </row>
    <row r="21" spans="1:5" s="84" customFormat="1" ht="15.75" x14ac:dyDescent="0.25">
      <c r="A21" s="89" t="s">
        <v>253</v>
      </c>
      <c r="B21" s="92">
        <f>'5.kiadás'!I209</f>
        <v>30000</v>
      </c>
      <c r="C21" s="92">
        <v>0</v>
      </c>
      <c r="D21" s="92">
        <v>0</v>
      </c>
      <c r="E21" s="92">
        <f t="shared" si="0"/>
        <v>30000</v>
      </c>
    </row>
    <row r="22" spans="1:5" s="84" customFormat="1" ht="15.75" x14ac:dyDescent="0.25">
      <c r="A22" s="89" t="s">
        <v>254</v>
      </c>
      <c r="B22" s="92">
        <f>'5.kiadás'!I213</f>
        <v>95000</v>
      </c>
      <c r="C22" s="92">
        <v>0</v>
      </c>
      <c r="D22" s="92">
        <v>0</v>
      </c>
      <c r="E22" s="92">
        <f t="shared" si="0"/>
        <v>95000</v>
      </c>
    </row>
    <row r="23" spans="1:5" s="84" customFormat="1" ht="15.75" x14ac:dyDescent="0.25">
      <c r="A23" s="89" t="s">
        <v>79</v>
      </c>
      <c r="B23" s="92">
        <f>'5.kiadás'!I222</f>
        <v>24000</v>
      </c>
      <c r="C23" s="92">
        <v>0</v>
      </c>
      <c r="D23" s="92">
        <v>0</v>
      </c>
      <c r="E23" s="92">
        <f t="shared" si="0"/>
        <v>24000</v>
      </c>
    </row>
    <row r="24" spans="1:5" s="84" customFormat="1" ht="14.45" customHeight="1" x14ac:dyDescent="0.25">
      <c r="A24" s="89" t="s">
        <v>141</v>
      </c>
      <c r="B24" s="92">
        <v>0</v>
      </c>
      <c r="C24" s="92">
        <f>'12.Idősek Otthona kiadás'!H8</f>
        <v>63399703.25</v>
      </c>
      <c r="D24" s="92">
        <v>0</v>
      </c>
      <c r="E24" s="92">
        <f t="shared" si="0"/>
        <v>63399703.25</v>
      </c>
    </row>
    <row r="25" spans="1:5" s="84" customFormat="1" ht="14.45" customHeight="1" x14ac:dyDescent="0.25">
      <c r="A25" s="89" t="s">
        <v>113</v>
      </c>
      <c r="B25" s="92">
        <f>'5.kiadás'!I225</f>
        <v>20138425.539999999</v>
      </c>
      <c r="C25" s="92"/>
      <c r="D25" s="92"/>
      <c r="E25" s="92">
        <f t="shared" si="0"/>
        <v>20138425.539999999</v>
      </c>
    </row>
    <row r="26" spans="1:5" ht="15.75" x14ac:dyDescent="0.25">
      <c r="A26" s="97" t="s">
        <v>142</v>
      </c>
      <c r="B26" s="98">
        <f>SUM(B7:B25)</f>
        <v>72171243.340000004</v>
      </c>
      <c r="C26" s="98">
        <f>SUM(C7:C25)</f>
        <v>67291745.25</v>
      </c>
      <c r="D26" s="98">
        <f>SUM(D7:D25)</f>
        <v>0</v>
      </c>
      <c r="E26" s="98">
        <f>SUM(E7:E25)</f>
        <v>139462988.59</v>
      </c>
    </row>
    <row r="27" spans="1:5" x14ac:dyDescent="0.2">
      <c r="E27" s="147"/>
    </row>
    <row r="28" spans="1:5" ht="14.25" x14ac:dyDescent="0.2">
      <c r="E28" s="148"/>
    </row>
    <row r="29" spans="1:5" x14ac:dyDescent="0.2">
      <c r="D29" s="147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eadings="1" gridLines="1"/>
  <pageMargins left="0.75" right="0.75" top="1" bottom="1" header="0.51180555555555551" footer="0.51180555555555551"/>
  <pageSetup paperSize="9" scale="90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view="pageBreakPreview" zoomScale="120" zoomScaleNormal="120" zoomScaleSheetLayoutView="120" workbookViewId="0">
      <selection activeCell="B1" sqref="B1:F1"/>
    </sheetView>
  </sheetViews>
  <sheetFormatPr defaultColWidth="10.28515625" defaultRowHeight="15.75" x14ac:dyDescent="0.25"/>
  <cols>
    <col min="1" max="1" width="4.28515625" style="149" customWidth="1"/>
    <col min="2" max="2" width="49.5703125" style="149" customWidth="1"/>
    <col min="3" max="3" width="17.7109375" style="149" customWidth="1"/>
    <col min="4" max="4" width="17.140625" style="149" customWidth="1"/>
    <col min="5" max="5" width="17.5703125" style="149" customWidth="1"/>
    <col min="6" max="6" width="17.28515625" style="149" customWidth="1"/>
    <col min="7" max="16384" width="10.28515625" style="149"/>
  </cols>
  <sheetData>
    <row r="1" spans="1:8" x14ac:dyDescent="0.25">
      <c r="B1" s="311" t="s">
        <v>371</v>
      </c>
      <c r="C1" s="311"/>
      <c r="D1" s="311"/>
      <c r="E1" s="311"/>
      <c r="F1" s="299"/>
    </row>
    <row r="2" spans="1:8" x14ac:dyDescent="0.25">
      <c r="A2" s="311" t="s">
        <v>358</v>
      </c>
      <c r="B2" s="311"/>
      <c r="C2" s="311"/>
      <c r="D2" s="311"/>
      <c r="E2" s="311"/>
      <c r="F2" s="299"/>
    </row>
    <row r="3" spans="1:8" x14ac:dyDescent="0.25">
      <c r="A3" s="255"/>
      <c r="B3" s="255"/>
      <c r="C3" s="255"/>
      <c r="D3" s="255"/>
      <c r="E3" s="255"/>
      <c r="F3" s="195"/>
    </row>
    <row r="4" spans="1:8" ht="24" customHeight="1" x14ac:dyDescent="0.25">
      <c r="A4" s="312" t="s">
        <v>0</v>
      </c>
      <c r="B4" s="312"/>
      <c r="C4" s="312"/>
      <c r="D4" s="312"/>
      <c r="E4" s="312"/>
      <c r="F4" s="299"/>
    </row>
    <row r="5" spans="1:8" ht="24" customHeight="1" x14ac:dyDescent="0.25">
      <c r="A5" s="312" t="s">
        <v>267</v>
      </c>
      <c r="B5" s="312"/>
      <c r="C5" s="312"/>
      <c r="D5" s="312"/>
      <c r="E5" s="312"/>
      <c r="F5" s="299"/>
    </row>
    <row r="6" spans="1:8" x14ac:dyDescent="0.25">
      <c r="B6" s="150"/>
      <c r="C6" s="151"/>
      <c r="D6" s="151"/>
      <c r="E6" s="151"/>
    </row>
    <row r="7" spans="1:8" ht="61.5" customHeight="1" x14ac:dyDescent="0.25">
      <c r="A7" s="310" t="s">
        <v>268</v>
      </c>
      <c r="B7" s="310"/>
      <c r="C7" s="152" t="s">
        <v>269</v>
      </c>
      <c r="D7" s="152" t="s">
        <v>270</v>
      </c>
      <c r="E7" s="152" t="s">
        <v>271</v>
      </c>
      <c r="F7" s="152" t="s">
        <v>333</v>
      </c>
    </row>
    <row r="8" spans="1:8" x14ac:dyDescent="0.25">
      <c r="A8" s="149" t="s">
        <v>6</v>
      </c>
      <c r="B8" s="153" t="s">
        <v>7</v>
      </c>
      <c r="C8" s="92">
        <f>50762852+1244746</f>
        <v>52007598</v>
      </c>
      <c r="D8" s="92">
        <f>57866456+2257515</f>
        <v>60123971</v>
      </c>
      <c r="E8" s="92">
        <f>'2.bevétel'!F94+'11.Idősek Otthona bevétel'!F33</f>
        <v>56212727</v>
      </c>
      <c r="F8" s="92">
        <f>'2.bevétel'!G94+'11.Idősek Otthona bevétel'!G33</f>
        <v>59629888</v>
      </c>
    </row>
    <row r="9" spans="1:8" x14ac:dyDescent="0.25">
      <c r="A9" s="149" t="s">
        <v>8</v>
      </c>
      <c r="B9" s="153" t="s">
        <v>9</v>
      </c>
      <c r="C9" s="92">
        <f>12185239</f>
        <v>12185239</v>
      </c>
      <c r="D9" s="92">
        <v>9849976</v>
      </c>
      <c r="E9" s="92">
        <f>'2.bevétel'!F96</f>
        <v>8930000</v>
      </c>
      <c r="F9" s="92">
        <f>'2.bevétel'!G96</f>
        <v>6945611</v>
      </c>
      <c r="H9" s="154"/>
    </row>
    <row r="10" spans="1:8" x14ac:dyDescent="0.25">
      <c r="A10" s="149" t="s">
        <v>10</v>
      </c>
      <c r="B10" s="153" t="s">
        <v>11</v>
      </c>
      <c r="C10" s="92">
        <f>770361+22188893</f>
        <v>22959254</v>
      </c>
      <c r="D10" s="92">
        <f>671673+24530846</f>
        <v>25202519</v>
      </c>
      <c r="E10" s="92">
        <f>'2.bevétel'!F98+'11.Idősek Otthona bevétel'!F34</f>
        <v>27180000</v>
      </c>
      <c r="F10" s="92">
        <f>'2.bevétel'!G98+'11.Idősek Otthona bevétel'!G34</f>
        <v>27150000</v>
      </c>
      <c r="H10" s="154"/>
    </row>
    <row r="11" spans="1:8" x14ac:dyDescent="0.25">
      <c r="A11" s="149" t="s">
        <v>12</v>
      </c>
      <c r="B11" s="153" t="s">
        <v>13</v>
      </c>
      <c r="C11" s="155">
        <f>100000+0</f>
        <v>100000</v>
      </c>
      <c r="D11" s="155">
        <v>100000</v>
      </c>
      <c r="E11" s="155">
        <f>'2.bevétel'!F99</f>
        <v>55000</v>
      </c>
      <c r="F11" s="155">
        <f>'2.bevétel'!G99</f>
        <v>55000</v>
      </c>
      <c r="H11" s="154"/>
    </row>
    <row r="12" spans="1:8" x14ac:dyDescent="0.25">
      <c r="A12" s="149" t="s">
        <v>17</v>
      </c>
      <c r="B12" s="156" t="s">
        <v>18</v>
      </c>
      <c r="C12" s="155">
        <f>24501009+2658193</f>
        <v>27159202</v>
      </c>
      <c r="D12" s="155">
        <f>31166379+712063</f>
        <v>31878442</v>
      </c>
      <c r="E12" s="155">
        <f>'2.bevétel'!F100+'11.Idősek Otthona bevétel'!F35-'11.Idősek Otthona bevétel'!F31</f>
        <v>38068973</v>
      </c>
      <c r="F12" s="155">
        <f>'2.bevétel'!G100+'11.Idősek Otthona bevétel'!G35-'11.Idősek Otthona bevétel'!G31</f>
        <v>38068973</v>
      </c>
    </row>
    <row r="13" spans="1:8" x14ac:dyDescent="0.25">
      <c r="A13" s="157"/>
      <c r="B13" s="158" t="s">
        <v>272</v>
      </c>
      <c r="C13" s="159">
        <f>SUM(C8:C12)</f>
        <v>114411293</v>
      </c>
      <c r="D13" s="159">
        <f>SUM(D8:D12)</f>
        <v>127154908</v>
      </c>
      <c r="E13" s="159">
        <f>SUM(E8:E12)</f>
        <v>130446700</v>
      </c>
      <c r="F13" s="159">
        <f>SUM(F8:F12)</f>
        <v>131849472</v>
      </c>
    </row>
    <row r="14" spans="1:8" x14ac:dyDescent="0.25">
      <c r="B14" s="160"/>
    </row>
    <row r="15" spans="1:8" x14ac:dyDescent="0.25">
      <c r="A15" s="149" t="s">
        <v>21</v>
      </c>
      <c r="B15" s="156" t="s">
        <v>147</v>
      </c>
      <c r="C15" s="92">
        <f>13637168+26536719</f>
        <v>40173887</v>
      </c>
      <c r="D15" s="92">
        <f>13841247+30605759</f>
        <v>44447006</v>
      </c>
      <c r="E15" s="92">
        <f>'5.kiadás'!H239+'12.Idősek Otthona kiadás'!G54</f>
        <v>47116583</v>
      </c>
      <c r="F15" s="92">
        <f>'5.kiadás'!I239+'12.Idősek Otthona kiadás'!H54</f>
        <v>50406313</v>
      </c>
      <c r="G15" s="154"/>
    </row>
    <row r="16" spans="1:8" x14ac:dyDescent="0.25">
      <c r="A16" s="149" t="s">
        <v>23</v>
      </c>
      <c r="B16" s="156" t="s">
        <v>273</v>
      </c>
      <c r="C16" s="92">
        <f>2269178+5348154</f>
        <v>7617332</v>
      </c>
      <c r="D16" s="92">
        <f>2182023+5583860</f>
        <v>7765883</v>
      </c>
      <c r="E16" s="92">
        <f>'5.kiadás'!H240+'12.Idősek Otthona kiadás'!G55</f>
        <v>7889789.2249999996</v>
      </c>
      <c r="F16" s="92">
        <f>'5.kiadás'!I240+'12.Idősek Otthona kiadás'!H55</f>
        <v>8493222.25</v>
      </c>
      <c r="G16" s="154"/>
    </row>
    <row r="17" spans="1:7" x14ac:dyDescent="0.25">
      <c r="A17" s="149" t="s">
        <v>25</v>
      </c>
      <c r="B17" s="156" t="s">
        <v>274</v>
      </c>
      <c r="C17" s="92">
        <f>9158947+17648714</f>
        <v>26807661</v>
      </c>
      <c r="D17" s="92">
        <f>11101047+21264639</f>
        <v>32365686</v>
      </c>
      <c r="E17" s="92">
        <f>'5.kiadás'!H241+'12.Idősek Otthona kiadás'!G56</f>
        <v>36888719</v>
      </c>
      <c r="F17" s="92">
        <f>'5.kiadás'!I241+'12.Idősek Otthona kiadás'!H56</f>
        <v>35996763</v>
      </c>
      <c r="G17" s="154"/>
    </row>
    <row r="18" spans="1:7" x14ac:dyDescent="0.25">
      <c r="A18" s="149" t="s">
        <v>27</v>
      </c>
      <c r="B18" s="156" t="s">
        <v>275</v>
      </c>
      <c r="C18" s="92">
        <f>1357467+0</f>
        <v>1357467</v>
      </c>
      <c r="D18" s="92">
        <v>2743064</v>
      </c>
      <c r="E18" s="92">
        <f>'5.kiadás'!H242</f>
        <v>2950000</v>
      </c>
      <c r="F18" s="92">
        <f>'5.kiadás'!I242</f>
        <v>2950000</v>
      </c>
      <c r="G18" s="154"/>
    </row>
    <row r="19" spans="1:7" x14ac:dyDescent="0.25">
      <c r="A19" s="149" t="s">
        <v>29</v>
      </c>
      <c r="B19" s="161" t="s">
        <v>30</v>
      </c>
      <c r="C19" s="92">
        <f>5336212+0</f>
        <v>5336212</v>
      </c>
      <c r="D19" s="92">
        <v>6717916</v>
      </c>
      <c r="E19" s="92">
        <f>'5.kiadás'!H243</f>
        <v>22311890</v>
      </c>
      <c r="F19" s="92">
        <f>'5.kiadás'!I243</f>
        <v>16600375</v>
      </c>
      <c r="G19" s="154"/>
    </row>
    <row r="20" spans="1:7" x14ac:dyDescent="0.25">
      <c r="A20" s="149" t="s">
        <v>276</v>
      </c>
      <c r="B20" s="161" t="s">
        <v>37</v>
      </c>
      <c r="C20" s="92">
        <v>3740106</v>
      </c>
      <c r="D20" s="92">
        <f>35630579-32037483</f>
        <v>3593096</v>
      </c>
      <c r="E20" s="92">
        <f>'5.kiadás'!H246-'11.Idősek Otthona bevétel'!F31</f>
        <v>3900000</v>
      </c>
      <c r="F20" s="92">
        <f>'5.kiadás'!I246-'11.Idősek Otthona bevétel'!G31</f>
        <v>3900000</v>
      </c>
      <c r="G20" s="154"/>
    </row>
    <row r="21" spans="1:7" x14ac:dyDescent="0.25">
      <c r="A21" s="157"/>
      <c r="B21" s="158" t="s">
        <v>277</v>
      </c>
      <c r="C21" s="162">
        <f>SUM(C15:C20)</f>
        <v>85032665</v>
      </c>
      <c r="D21" s="162">
        <f>SUM(D15:D20)</f>
        <v>97632651</v>
      </c>
      <c r="E21" s="162">
        <f>SUM(E15:E20)</f>
        <v>121056981.22499999</v>
      </c>
      <c r="F21" s="162">
        <f>SUM(F15:F20)</f>
        <v>118346673.25</v>
      </c>
    </row>
    <row r="22" spans="1:7" x14ac:dyDescent="0.25">
      <c r="D22" s="163"/>
    </row>
    <row r="23" spans="1:7" x14ac:dyDescent="0.25">
      <c r="D23" s="164"/>
    </row>
  </sheetData>
  <sheetProtection selectLockedCells="1" selectUnlockedCells="1"/>
  <mergeCells count="5">
    <mergeCell ref="A7:B7"/>
    <mergeCell ref="B1:F1"/>
    <mergeCell ref="A2:F2"/>
    <mergeCell ref="A4:F4"/>
    <mergeCell ref="A5:F5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abSelected="1" view="pageBreakPreview" zoomScale="120" zoomScaleNormal="120" zoomScaleSheetLayoutView="120" workbookViewId="0">
      <selection sqref="A1:F1"/>
    </sheetView>
  </sheetViews>
  <sheetFormatPr defaultColWidth="10.28515625" defaultRowHeight="15.75" x14ac:dyDescent="0.25"/>
  <cols>
    <col min="1" max="1" width="3.42578125" style="149" customWidth="1"/>
    <col min="2" max="2" width="51.5703125" style="149" customWidth="1"/>
    <col min="3" max="3" width="17.7109375" style="149" customWidth="1"/>
    <col min="4" max="4" width="17.28515625" style="149" customWidth="1"/>
    <col min="5" max="5" width="16.5703125" style="149" customWidth="1"/>
    <col min="6" max="6" width="16.42578125" style="149" customWidth="1"/>
    <col min="7" max="16384" width="10.28515625" style="149"/>
  </cols>
  <sheetData>
    <row r="1" spans="1:6" x14ac:dyDescent="0.25">
      <c r="A1" s="311" t="s">
        <v>377</v>
      </c>
      <c r="B1" s="311"/>
      <c r="C1" s="311"/>
      <c r="D1" s="311"/>
      <c r="E1" s="311"/>
      <c r="F1" s="294"/>
    </row>
    <row r="2" spans="1:6" x14ac:dyDescent="0.25">
      <c r="A2" s="311" t="s">
        <v>359</v>
      </c>
      <c r="B2" s="311"/>
      <c r="C2" s="311"/>
      <c r="D2" s="311"/>
      <c r="E2" s="311"/>
      <c r="F2" s="294"/>
    </row>
    <row r="3" spans="1:6" x14ac:dyDescent="0.25">
      <c r="A3" s="165"/>
      <c r="B3" s="165"/>
      <c r="C3" s="165"/>
      <c r="D3" s="165"/>
    </row>
    <row r="4" spans="1:6" ht="19.5" customHeight="1" x14ac:dyDescent="0.25">
      <c r="A4" s="314" t="s">
        <v>259</v>
      </c>
      <c r="B4" s="314"/>
      <c r="C4" s="314"/>
      <c r="D4" s="314"/>
      <c r="E4" s="299"/>
      <c r="F4" s="299"/>
    </row>
    <row r="5" spans="1:6" x14ac:dyDescent="0.25">
      <c r="A5" s="314" t="s">
        <v>278</v>
      </c>
      <c r="B5" s="314"/>
      <c r="C5" s="314"/>
      <c r="D5" s="314"/>
      <c r="E5" s="299"/>
      <c r="F5" s="299"/>
    </row>
    <row r="6" spans="1:6" ht="18.600000000000001" customHeight="1" x14ac:dyDescent="0.25">
      <c r="A6" s="150"/>
      <c r="B6" s="150"/>
      <c r="C6" s="166"/>
      <c r="D6" s="166"/>
      <c r="E6" s="166"/>
      <c r="F6" s="166"/>
    </row>
    <row r="7" spans="1:6" ht="31.15" customHeight="1" x14ac:dyDescent="0.25">
      <c r="A7" s="313" t="s">
        <v>268</v>
      </c>
      <c r="B7" s="313"/>
      <c r="C7" s="258" t="s">
        <v>279</v>
      </c>
      <c r="D7" s="258" t="s">
        <v>270</v>
      </c>
      <c r="E7" s="258" t="s">
        <v>280</v>
      </c>
      <c r="F7" s="258" t="s">
        <v>334</v>
      </c>
    </row>
    <row r="8" spans="1:6" x14ac:dyDescent="0.25">
      <c r="A8" s="154" t="s">
        <v>15</v>
      </c>
      <c r="B8" s="153" t="s">
        <v>16</v>
      </c>
      <c r="C8" s="167">
        <f>5805012</f>
        <v>5805012</v>
      </c>
      <c r="D8" s="167">
        <v>11988125</v>
      </c>
      <c r="E8" s="167">
        <f>'2.bevétel'!F95</f>
        <v>0</v>
      </c>
      <c r="F8" s="167">
        <f>'2.bevétel'!G95</f>
        <v>7013517</v>
      </c>
    </row>
    <row r="9" spans="1:6" x14ac:dyDescent="0.25">
      <c r="A9" s="154" t="s">
        <v>281</v>
      </c>
      <c r="B9" s="153" t="s">
        <v>282</v>
      </c>
      <c r="C9" s="155">
        <v>0</v>
      </c>
      <c r="D9" s="155">
        <v>0</v>
      </c>
      <c r="E9" s="155">
        <v>0</v>
      </c>
      <c r="F9" s="155">
        <f>'2.bevétel'!G97</f>
        <v>600000</v>
      </c>
    </row>
    <row r="10" spans="1:6" x14ac:dyDescent="0.25">
      <c r="A10" s="154" t="s">
        <v>283</v>
      </c>
      <c r="B10" s="153" t="s">
        <v>284</v>
      </c>
      <c r="C10" s="155">
        <v>0</v>
      </c>
      <c r="D10" s="155">
        <v>0</v>
      </c>
      <c r="E10" s="155">
        <v>0</v>
      </c>
      <c r="F10" s="155">
        <v>0</v>
      </c>
    </row>
    <row r="11" spans="1:6" x14ac:dyDescent="0.25">
      <c r="A11" s="157"/>
      <c r="B11" s="158" t="s">
        <v>285</v>
      </c>
      <c r="C11" s="168">
        <f>SUM(C8:C10)</f>
        <v>5805012</v>
      </c>
      <c r="D11" s="168">
        <f>SUM(D8:D10)</f>
        <v>11988125</v>
      </c>
      <c r="E11" s="168">
        <f>SUM(E8:E10)</f>
        <v>0</v>
      </c>
      <c r="F11" s="168">
        <f>SUM(F8:F10)</f>
        <v>7613517</v>
      </c>
    </row>
    <row r="12" spans="1:6" x14ac:dyDescent="0.25">
      <c r="B12" s="160"/>
    </row>
    <row r="13" spans="1:6" x14ac:dyDescent="0.25">
      <c r="A13" s="154" t="s">
        <v>32</v>
      </c>
      <c r="B13" s="161" t="s">
        <v>33</v>
      </c>
      <c r="C13" s="155">
        <v>336001</v>
      </c>
      <c r="D13" s="155">
        <f>3748406+418000</f>
        <v>4166406</v>
      </c>
      <c r="E13" s="155">
        <f>'5.kiadás'!H244</f>
        <v>700000.10000000009</v>
      </c>
      <c r="F13" s="155">
        <f>'5.kiadás'!I244</f>
        <v>1794399.74</v>
      </c>
    </row>
    <row r="14" spans="1:6" x14ac:dyDescent="0.25">
      <c r="A14" s="154" t="s">
        <v>34</v>
      </c>
      <c r="B14" s="161" t="s">
        <v>35</v>
      </c>
      <c r="C14" s="155">
        <v>6859900</v>
      </c>
      <c r="D14" s="155">
        <v>3175000</v>
      </c>
      <c r="E14" s="155">
        <f>'5.kiadás'!H245</f>
        <v>8689718.459999999</v>
      </c>
      <c r="F14" s="155">
        <f>'5.kiadás'!I245</f>
        <v>19321915.600000001</v>
      </c>
    </row>
    <row r="15" spans="1:6" x14ac:dyDescent="0.25">
      <c r="A15" s="154" t="s">
        <v>286</v>
      </c>
      <c r="B15" s="161" t="s">
        <v>287</v>
      </c>
      <c r="C15" s="155">
        <v>0</v>
      </c>
      <c r="D15" s="155">
        <v>0</v>
      </c>
      <c r="E15" s="155">
        <v>0</v>
      </c>
      <c r="F15" s="155">
        <v>0</v>
      </c>
    </row>
    <row r="16" spans="1:6" x14ac:dyDescent="0.25">
      <c r="A16" s="157"/>
      <c r="B16" s="158" t="s">
        <v>288</v>
      </c>
      <c r="C16" s="162">
        <f>SUM(C13:C15)</f>
        <v>7195901</v>
      </c>
      <c r="D16" s="162">
        <f>SUM(D13:D15)</f>
        <v>7341406</v>
      </c>
      <c r="E16" s="162">
        <f>SUM(E13:E15)</f>
        <v>9389718.5599999987</v>
      </c>
      <c r="F16" s="162">
        <f>SUM(F13:F15)</f>
        <v>21116315.34</v>
      </c>
    </row>
    <row r="17" spans="1:6" x14ac:dyDescent="0.25">
      <c r="A17" s="157"/>
      <c r="B17" s="158"/>
      <c r="C17" s="162"/>
      <c r="D17" s="162"/>
      <c r="E17" s="162"/>
      <c r="F17" s="162"/>
    </row>
    <row r="18" spans="1:6" ht="45.75" customHeight="1" x14ac:dyDescent="0.25">
      <c r="A18" s="169"/>
      <c r="B18" s="170" t="s">
        <v>289</v>
      </c>
      <c r="C18" s="171">
        <f>C11+'7.Táj.adatok műk.'!C13</f>
        <v>120216305</v>
      </c>
      <c r="D18" s="171">
        <f>'7.Táj.adatok műk.'!D13+'8.Táj.adatok felh.'!D11</f>
        <v>139143033</v>
      </c>
      <c r="E18" s="171">
        <f>SUM('7.Táj.adatok műk.'!E13+'8.Táj.adatok felh.'!E11)</f>
        <v>130446700</v>
      </c>
      <c r="F18" s="171">
        <f>SUM('7.Táj.adatok műk.'!F13+'8.Táj.adatok felh.'!F11)</f>
        <v>139462989</v>
      </c>
    </row>
    <row r="19" spans="1:6" ht="44.25" customHeight="1" x14ac:dyDescent="0.25">
      <c r="A19" s="169"/>
      <c r="B19" s="170" t="s">
        <v>290</v>
      </c>
      <c r="C19" s="171">
        <f>C16+'7.Táj.adatok műk.'!C21</f>
        <v>92228566</v>
      </c>
      <c r="D19" s="171">
        <f>'7.Táj.adatok műk.'!D21+D16</f>
        <v>104974057</v>
      </c>
      <c r="E19" s="171">
        <f>SUM('7.Táj.adatok műk.'!E21+'8.Táj.adatok felh.'!E16)</f>
        <v>130446699.785</v>
      </c>
      <c r="F19" s="171">
        <f>SUM('7.Táj.adatok műk.'!F21+'8.Táj.adatok felh.'!F16)</f>
        <v>139462988.59</v>
      </c>
    </row>
    <row r="20" spans="1:6" x14ac:dyDescent="0.25">
      <c r="D20" s="164"/>
      <c r="E20" s="164"/>
      <c r="F20" s="164"/>
    </row>
    <row r="21" spans="1:6" x14ac:dyDescent="0.25">
      <c r="D21" s="164"/>
    </row>
    <row r="22" spans="1:6" x14ac:dyDescent="0.25">
      <c r="D22" s="164"/>
    </row>
    <row r="23" spans="1:6" x14ac:dyDescent="0.25">
      <c r="D23" s="164"/>
    </row>
  </sheetData>
  <sheetProtection selectLockedCells="1" selectUnlockedCells="1"/>
  <mergeCells count="5">
    <mergeCell ref="A7:B7"/>
    <mergeCell ref="A1:F1"/>
    <mergeCell ref="A2:F2"/>
    <mergeCell ref="A4:F4"/>
    <mergeCell ref="A5:F5"/>
  </mergeCells>
  <printOptions headings="1" gridLines="1"/>
  <pageMargins left="0.74791666666666667" right="0.2361111111111111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0"/>
  <sheetViews>
    <sheetView zoomScale="110" zoomScaleNormal="110" zoomScaleSheetLayoutView="120" workbookViewId="0">
      <selection sqref="A1:D1"/>
    </sheetView>
  </sheetViews>
  <sheetFormatPr defaultColWidth="9.140625" defaultRowHeight="15" x14ac:dyDescent="0.2"/>
  <cols>
    <col min="1" max="1" width="36.140625" style="172" customWidth="1"/>
    <col min="2" max="2" width="46.28515625" style="172" customWidth="1"/>
    <col min="3" max="4" width="15.85546875" style="172" customWidth="1"/>
    <col min="5" max="16384" width="9.140625" style="172"/>
  </cols>
  <sheetData>
    <row r="1" spans="1:4" ht="15.75" x14ac:dyDescent="0.2">
      <c r="A1" s="315" t="s">
        <v>372</v>
      </c>
      <c r="B1" s="315"/>
      <c r="C1" s="315"/>
      <c r="D1" s="299"/>
    </row>
    <row r="2" spans="1:4" ht="15.75" x14ac:dyDescent="0.2">
      <c r="A2" s="315" t="s">
        <v>360</v>
      </c>
      <c r="B2" s="315"/>
      <c r="C2" s="315"/>
      <c r="D2" s="319"/>
    </row>
    <row r="3" spans="1:4" ht="18" customHeight="1" x14ac:dyDescent="0.2">
      <c r="A3" s="315"/>
      <c r="B3" s="315"/>
      <c r="C3" s="315"/>
      <c r="D3" s="173"/>
    </row>
    <row r="4" spans="1:4" ht="24" customHeight="1" x14ac:dyDescent="0.2">
      <c r="A4" s="291" t="s">
        <v>0</v>
      </c>
      <c r="B4" s="291"/>
      <c r="C4" s="291"/>
      <c r="D4" s="292"/>
    </row>
    <row r="5" spans="1:4" ht="30" customHeight="1" x14ac:dyDescent="0.2">
      <c r="A5" s="291" t="s">
        <v>291</v>
      </c>
      <c r="B5" s="291"/>
      <c r="C5" s="291"/>
      <c r="D5" s="292"/>
    </row>
    <row r="6" spans="1:4" ht="17.25" customHeight="1" x14ac:dyDescent="0.2">
      <c r="A6" s="320" t="s">
        <v>292</v>
      </c>
      <c r="B6" s="320"/>
      <c r="C6" s="320"/>
      <c r="D6" s="321"/>
    </row>
    <row r="7" spans="1:4" ht="31.5" customHeight="1" x14ac:dyDescent="0.2">
      <c r="A7" s="316" t="s">
        <v>268</v>
      </c>
      <c r="B7" s="316"/>
      <c r="C7" s="31" t="s">
        <v>127</v>
      </c>
      <c r="D7" s="31" t="s">
        <v>127</v>
      </c>
    </row>
    <row r="8" spans="1:4" ht="34.5" customHeight="1" x14ac:dyDescent="0.2">
      <c r="A8" s="316"/>
      <c r="B8" s="316"/>
      <c r="C8" s="30" t="s">
        <v>4</v>
      </c>
      <c r="D8" s="30" t="s">
        <v>128</v>
      </c>
    </row>
    <row r="9" spans="1:4" ht="25.5" customHeight="1" x14ac:dyDescent="0.25">
      <c r="A9" s="317" t="s">
        <v>250</v>
      </c>
      <c r="B9" s="257" t="s">
        <v>293</v>
      </c>
      <c r="C9" s="174">
        <v>8489719</v>
      </c>
      <c r="D9" s="174">
        <v>12974344</v>
      </c>
    </row>
    <row r="10" spans="1:4" ht="25.5" customHeight="1" x14ac:dyDescent="0.25">
      <c r="A10" s="317"/>
      <c r="B10" s="257" t="s">
        <v>346</v>
      </c>
      <c r="C10" s="174">
        <v>0</v>
      </c>
      <c r="D10" s="174">
        <f>5592572+425000+130000</f>
        <v>6147572</v>
      </c>
    </row>
    <row r="11" spans="1:4" ht="25.5" customHeight="1" x14ac:dyDescent="0.25">
      <c r="A11" s="317"/>
      <c r="B11" s="257" t="s">
        <v>331</v>
      </c>
      <c r="C11" s="174">
        <v>200000</v>
      </c>
      <c r="D11" s="174">
        <v>200000</v>
      </c>
    </row>
    <row r="12" spans="1:4" ht="30" customHeight="1" x14ac:dyDescent="0.25">
      <c r="A12" s="318" t="s">
        <v>294</v>
      </c>
      <c r="B12" s="318"/>
      <c r="C12" s="175">
        <f>SUM(C9:C11)</f>
        <v>8689719</v>
      </c>
      <c r="D12" s="175">
        <f>SUM(D9:D11)</f>
        <v>19321916</v>
      </c>
    </row>
    <row r="13" spans="1:4" x14ac:dyDescent="0.2">
      <c r="D13" s="271"/>
    </row>
    <row r="14" spans="1:4" x14ac:dyDescent="0.2">
      <c r="D14" s="285"/>
    </row>
    <row r="15" spans="1:4" s="176" customFormat="1" x14ac:dyDescent="0.2"/>
    <row r="16" spans="1:4" s="176" customFormat="1" ht="15.75" x14ac:dyDescent="0.25">
      <c r="C16" s="177"/>
      <c r="D16" s="177"/>
    </row>
    <row r="17" s="176" customFormat="1" x14ac:dyDescent="0.2"/>
    <row r="18" s="176" customFormat="1" x14ac:dyDescent="0.2"/>
    <row r="19" s="176" customFormat="1" x14ac:dyDescent="0.2"/>
    <row r="20" s="176" customFormat="1" x14ac:dyDescent="0.2"/>
    <row r="21" s="176" customFormat="1" x14ac:dyDescent="0.2"/>
    <row r="22" s="176" customFormat="1" x14ac:dyDescent="0.2"/>
    <row r="23" s="176" customFormat="1" x14ac:dyDescent="0.2"/>
    <row r="24" s="176" customFormat="1" x14ac:dyDescent="0.2"/>
    <row r="25" s="176" customFormat="1" x14ac:dyDescent="0.2"/>
    <row r="26" s="176" customFormat="1" x14ac:dyDescent="0.2"/>
    <row r="27" s="176" customFormat="1" x14ac:dyDescent="0.2"/>
    <row r="28" s="176" customFormat="1" x14ac:dyDescent="0.2"/>
    <row r="29" s="176" customFormat="1" x14ac:dyDescent="0.2"/>
    <row r="30" s="176" customFormat="1" x14ac:dyDescent="0.2"/>
    <row r="31" s="176" customFormat="1" x14ac:dyDescent="0.2"/>
    <row r="32" s="176" customFormat="1" x14ac:dyDescent="0.2"/>
    <row r="179" spans="3:4" ht="15.75" customHeight="1" x14ac:dyDescent="0.2">
      <c r="C179" s="178"/>
      <c r="D179" s="178"/>
    </row>
    <row r="180" spans="3:4" ht="15.75" customHeight="1" x14ac:dyDescent="0.2">
      <c r="C180" s="178"/>
      <c r="D180" s="178"/>
    </row>
  </sheetData>
  <sheetProtection selectLockedCells="1" selectUnlockedCells="1"/>
  <mergeCells count="9">
    <mergeCell ref="A1:D1"/>
    <mergeCell ref="A7:B8"/>
    <mergeCell ref="A9:A11"/>
    <mergeCell ref="A12:B12"/>
    <mergeCell ref="A3:C3"/>
    <mergeCell ref="A2:D2"/>
    <mergeCell ref="A4:D4"/>
    <mergeCell ref="A5:D5"/>
    <mergeCell ref="A6:D6"/>
  </mergeCells>
  <printOptions horizontalCentered="1" headings="1" gridLines="1"/>
  <pageMargins left="0.39374999999999999" right="0.39374999999999999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15</vt:i4>
      </vt:variant>
    </vt:vector>
  </HeadingPairs>
  <TitlesOfParts>
    <vt:vector size="28" baseType="lpstr">
      <vt:lpstr>1.mérleg</vt:lpstr>
      <vt:lpstr>2.bevétel</vt:lpstr>
      <vt:lpstr>3.bevétel jogc.</vt:lpstr>
      <vt:lpstr>4.bevétel fel.</vt:lpstr>
      <vt:lpstr>5.kiadás</vt:lpstr>
      <vt:lpstr>6. kiadás fel.</vt:lpstr>
      <vt:lpstr>7.Táj.adatok műk.</vt:lpstr>
      <vt:lpstr>8.Táj.adatok felh.</vt:lpstr>
      <vt:lpstr>9.felújítás</vt:lpstr>
      <vt:lpstr>10. beruházás</vt:lpstr>
      <vt:lpstr>11.Idősek Otthona bevétel</vt:lpstr>
      <vt:lpstr>12.Idősek Otthona kiadás</vt:lpstr>
      <vt:lpstr>13. Idősek Otthona beruházás</vt:lpstr>
      <vt:lpstr>'10. beruházás'!Excel_BuiltIn_Print_Area</vt:lpstr>
      <vt:lpstr>'3.bevétel jogc.'!Excel_BuiltIn_Print_Area</vt:lpstr>
      <vt:lpstr>'9.felújítás'!Excel_BuiltIn_Print_Area</vt:lpstr>
      <vt:lpstr>Excel_BuiltIn_Print_Area_3_1</vt:lpstr>
      <vt:lpstr>'5.kiadás'!Nyomtatási_cím</vt:lpstr>
      <vt:lpstr>'1.mérleg'!Nyomtatási_terület</vt:lpstr>
      <vt:lpstr>'10. beruházás'!Nyomtatási_terület</vt:lpstr>
      <vt:lpstr>'11.Idősek Otthona bevétel'!Nyomtatási_terület</vt:lpstr>
      <vt:lpstr>'12.Idősek Otthona kiadás'!Nyomtatási_terület</vt:lpstr>
      <vt:lpstr>'13. Idősek Otthona beruházás'!Nyomtatási_terület</vt:lpstr>
      <vt:lpstr>'2.bevétel'!Nyomtatási_terület</vt:lpstr>
      <vt:lpstr>'3.bevétel jogc.'!Nyomtatási_terület</vt:lpstr>
      <vt:lpstr>'5.kiadás'!Nyomtatási_terület</vt:lpstr>
      <vt:lpstr>'6. kiadás fel.'!Nyomtatási_terület</vt:lpstr>
      <vt:lpstr>'9.felújítás'!Nyomtatási_terület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HorvathTamasne</cp:lastModifiedBy>
  <cp:lastPrinted>2020-09-30T07:36:13Z</cp:lastPrinted>
  <dcterms:created xsi:type="dcterms:W3CDTF">2020-02-03T09:22:05Z</dcterms:created>
  <dcterms:modified xsi:type="dcterms:W3CDTF">2020-09-30T08:40:16Z</dcterms:modified>
</cp:coreProperties>
</file>