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095" windowHeight="8940" tabRatio="814" firstSheet="17" activeTab="22"/>
  </bookViews>
  <sheets>
    <sheet name="1.mérleg" sheetId="1" r:id="rId1"/>
    <sheet name="2.bevétel" sheetId="2" r:id="rId2"/>
    <sheet name="3.bevétel jogc." sheetId="3" r:id="rId3"/>
    <sheet name="4.bevétel fel." sheetId="4" r:id="rId4"/>
    <sheet name="5.kiadás" sheetId="5" r:id="rId5"/>
    <sheet name="6. kiadás fel." sheetId="6" r:id="rId6"/>
    <sheet name="7.Táj.adatok műk." sheetId="7" r:id="rId7"/>
    <sheet name="8.Táj.adatok felh." sheetId="8" r:id="rId8"/>
    <sheet name="9.felújítás" sheetId="9" r:id="rId9"/>
    <sheet name="10. beruházás" sheetId="10" r:id="rId10"/>
    <sheet name="11.Idősek Otthona bevétel" sheetId="11" r:id="rId11"/>
    <sheet name="12.Idősek Otthona kiadás" sheetId="12" r:id="rId12"/>
    <sheet name="13. Idősek Otthona beruházás" sheetId="13" r:id="rId13"/>
    <sheet name="14.Mindszentkálla Önk.Maradvány" sheetId="14" r:id="rId14"/>
    <sheet name="15. Mindszentkálla Önk. Mérleg" sheetId="15" r:id="rId15"/>
    <sheet name="16.Mindszentkálla Önk.Eredmény" sheetId="16" r:id="rId16"/>
    <sheet name="17.Minszentkálla Önk. Tárgyi E." sheetId="17" r:id="rId17"/>
    <sheet name="18.Minszenkálla Személyi jutt." sheetId="18" r:id="rId18"/>
    <sheet name="19.Idősek Otthona Maradványkim." sheetId="19" r:id="rId19"/>
    <sheet name="20. Idősek Otthona Mérleg" sheetId="20" r:id="rId20"/>
    <sheet name="21. Idősek Otthona Eredménykim." sheetId="21" r:id="rId21"/>
    <sheet name="22. Idősek Otthona Tárgyi eszöz" sheetId="22" r:id="rId22"/>
    <sheet name="23.Idősek Otthona Személyi Jut." sheetId="23" r:id="rId23"/>
  </sheets>
  <definedNames>
    <definedName name="Excel_BuiltIn__FilterDatabase" localSheetId="1">'2.bevétel'!$A$10:$O$86</definedName>
    <definedName name="Excel_BuiltIn__FilterDatabase" localSheetId="4">'5.kiadás'!$A$10:$O$250</definedName>
    <definedName name="Excel_BuiltIn__FilterDatabase" localSheetId="5">'6. kiadás fel.'!$A$1:$E$30</definedName>
    <definedName name="Excel_BuiltIn_Print_Area_1_1">#REF!</definedName>
    <definedName name="Excel_BuiltIn_Print_Area_2_1">#REF!</definedName>
    <definedName name="Excel_BuiltIn_Print_Area_3_1">'5.kiadás'!$A$3:$F$86</definedName>
    <definedName name="_xlnm.Print_Titles" localSheetId="4">'5.kiadás'!$3:$8</definedName>
    <definedName name="_xlnm.Print_Area" localSheetId="9">'10. beruházás'!$A$1:$E$12</definedName>
    <definedName name="_xlnm.Print_Area" localSheetId="10">'11.Idősek Otthona bevétel'!$A$1:$I$27</definedName>
    <definedName name="_xlnm.Print_Area" localSheetId="11">'12.Idősek Otthona kiadás'!$A$1:$J$77</definedName>
    <definedName name="_xlnm.Print_Area" localSheetId="12">'13. Idősek Otthona beruházás'!$A$1:$C$12</definedName>
    <definedName name="_xlnm.Print_Area" localSheetId="1">'2.bevétel'!$A$1:$I$93</definedName>
    <definedName name="_xlnm.Print_Area" localSheetId="4">'5.kiadás'!$A$1:$K$250</definedName>
    <definedName name="_xlnm.Print_Area" localSheetId="5">'6. kiadás fel.'!$A$1:$E$28</definedName>
    <definedName name="_xlnm.Print_Area" localSheetId="8">'9.felújítás'!$A$1:$F$10</definedName>
  </definedNames>
  <calcPr fullCalcOnLoad="1"/>
</workbook>
</file>

<file path=xl/sharedStrings.xml><?xml version="1.0" encoding="utf-8"?>
<sst xmlns="http://schemas.openxmlformats.org/spreadsheetml/2006/main" count="1503" uniqueCount="596">
  <si>
    <t>MINDSZENTKÁLLA KÖZSÉG ÖNKORMÁNYZATA</t>
  </si>
  <si>
    <t>2018. évi Költségvetés Mérlege</t>
  </si>
  <si>
    <t>Előirányzatok</t>
  </si>
  <si>
    <t>Előirányzat    (Ft)</t>
  </si>
  <si>
    <t>Pénzügyi teljesítés</t>
  </si>
  <si>
    <t>Pénzügyi teljesítés mód. előirányzathoz képest</t>
  </si>
  <si>
    <t>eredeti</t>
  </si>
  <si>
    <t>módosított</t>
  </si>
  <si>
    <t>2018.12.31-ig (Ft)</t>
  </si>
  <si>
    <t>%-os értékben</t>
  </si>
  <si>
    <t>Működési bevételek összesen:</t>
  </si>
  <si>
    <t>B1</t>
  </si>
  <si>
    <t>Működési célú támogatások államháztartáson belülről</t>
  </si>
  <si>
    <t>B3</t>
  </si>
  <si>
    <t>Közhatalmi bevételek</t>
  </si>
  <si>
    <t>B4</t>
  </si>
  <si>
    <t>Működési bevételek</t>
  </si>
  <si>
    <t>B6</t>
  </si>
  <si>
    <t>Működési célú átvett pénzeszközök</t>
  </si>
  <si>
    <t>Felhalmozási bevételek összesen:</t>
  </si>
  <si>
    <t>B2</t>
  </si>
  <si>
    <t>Felhalmozási célú támogatások államháztartáson belülről</t>
  </si>
  <si>
    <t>B8</t>
  </si>
  <si>
    <t>Finanszírozási bevételek</t>
  </si>
  <si>
    <t>BEVÉTELEK összesen:</t>
  </si>
  <si>
    <t>Működési kiadások összesen:</t>
  </si>
  <si>
    <t>K1</t>
  </si>
  <si>
    <t>Személyi juttatás</t>
  </si>
  <si>
    <t>K2</t>
  </si>
  <si>
    <t>Munkaadót terhelő járulékok</t>
  </si>
  <si>
    <t>K3</t>
  </si>
  <si>
    <t>Dologi kiadások</t>
  </si>
  <si>
    <t>K4</t>
  </si>
  <si>
    <t>Ellátotak pénzbeli juttatásai</t>
  </si>
  <si>
    <t>K5</t>
  </si>
  <si>
    <t>Egyéb működési célú kiadások</t>
  </si>
  <si>
    <t>Felhalmozási kiadások összesen:</t>
  </si>
  <si>
    <t>K6</t>
  </si>
  <si>
    <t>Beruházások</t>
  </si>
  <si>
    <t>K7</t>
  </si>
  <si>
    <t>Felújítások</t>
  </si>
  <si>
    <t>K9</t>
  </si>
  <si>
    <t>Finanszírozási kiadások</t>
  </si>
  <si>
    <t>KIADÁSOK ÖSSZESEN</t>
  </si>
  <si>
    <t>2018. évi költségvetés bevételei</t>
  </si>
  <si>
    <t>jogcím csoportonként</t>
  </si>
  <si>
    <t>Kiemelt előirányzatok</t>
  </si>
  <si>
    <t>Előirányzat (Ft)</t>
  </si>
  <si>
    <t>Előirányzat (Ft) módosított</t>
  </si>
  <si>
    <t>013350 Az önkormányzati vagyonnal való gazdálkodással kapcsolatos feladatok</t>
  </si>
  <si>
    <t>B402</t>
  </si>
  <si>
    <t>Szolgáltatások ellenértéke</t>
  </si>
  <si>
    <t>Tárgyi eszközök bérbeadásából származó bevétel</t>
  </si>
  <si>
    <t xml:space="preserve">011130 Önkormányzatok és önkormányzati hivatalok jogalkotó és általános igazgatási tevékenysége </t>
  </si>
  <si>
    <t>B408</t>
  </si>
  <si>
    <t>Kamatbevételek</t>
  </si>
  <si>
    <t>B411</t>
  </si>
  <si>
    <t>Egyéb működési bevételek</t>
  </si>
  <si>
    <t>B65</t>
  </si>
  <si>
    <t>Egyéb működési célú átvett pénzeszközök - háztartások</t>
  </si>
  <si>
    <t>018030 Támogatási célú finanszírozási műveletek</t>
  </si>
  <si>
    <t>B81</t>
  </si>
  <si>
    <t>Belföldi finanszírozás bevételei</t>
  </si>
  <si>
    <t>B813</t>
  </si>
  <si>
    <t>Maradvány igénybevétele</t>
  </si>
  <si>
    <t>B8131</t>
  </si>
  <si>
    <t>Előző év költségvetési maradványának igénybevétele</t>
  </si>
  <si>
    <t>900020 Önkormányzatok funkcióira nem sorolható bevételei államháztartáson kívülről</t>
  </si>
  <si>
    <t>B34</t>
  </si>
  <si>
    <t>Vagyoni típusú adók</t>
  </si>
  <si>
    <t>Magánszemélyek kommunális adója</t>
  </si>
  <si>
    <t>Telekadó</t>
  </si>
  <si>
    <t>B35</t>
  </si>
  <si>
    <t>Termékek és szolgáltatások adói</t>
  </si>
  <si>
    <t>B351</t>
  </si>
  <si>
    <t>Értékesítés és forgalmi adók</t>
  </si>
  <si>
    <t>Iparűzési adó</t>
  </si>
  <si>
    <t>B354</t>
  </si>
  <si>
    <t>Gépjárműadók</t>
  </si>
  <si>
    <t>Helyi önkormányzatot megillető rész</t>
  </si>
  <si>
    <t>B355</t>
  </si>
  <si>
    <t>Egyéb áruhasználati és szolgáltatási adók</t>
  </si>
  <si>
    <t>Tartózkodás után fizetett idegenforgalmi adó</t>
  </si>
  <si>
    <t>B36</t>
  </si>
  <si>
    <t>Egyéb közhatalmi bevételek</t>
  </si>
  <si>
    <t>Késedelmi és önellenőrzési pótlék</t>
  </si>
  <si>
    <t>013320 Köztemető fenntartás és működtetés</t>
  </si>
  <si>
    <t>018010 Önkormányzatok elszámolásai a központi költségvetéssel</t>
  </si>
  <si>
    <t>B11</t>
  </si>
  <si>
    <t>Önkormányzatok működési támogatása</t>
  </si>
  <si>
    <t>B111</t>
  </si>
  <si>
    <t>Helyi önkormányzatok működésének általános támogatása</t>
  </si>
  <si>
    <t>Település-üzemeltetéshez kapcsolódó feladatellátás támogatása</t>
  </si>
  <si>
    <t>Egyéb önkormányzati feladatok támogatása</t>
  </si>
  <si>
    <t>Lakott külterülettel kapcsolatos feladatok támogatások</t>
  </si>
  <si>
    <t>Üdülőhelyi feladatok támogatása</t>
  </si>
  <si>
    <t>Polgármesteri illetmény támogatása</t>
  </si>
  <si>
    <t>Kiegészítés</t>
  </si>
  <si>
    <t>B113</t>
  </si>
  <si>
    <t>Települési önkormányzatok szociális,gyermekjóléti és gyermekétkeztetési feladatainak támogatása</t>
  </si>
  <si>
    <t>Falugondnoki vagy tanyagondnoki szolgálat</t>
  </si>
  <si>
    <t>Idősek átmenti és tartós szakosított ellátási feladatainak támogatása</t>
  </si>
  <si>
    <t xml:space="preserve">          Szakmai dolgozók bértámogatása</t>
  </si>
  <si>
    <t xml:space="preserve">          Intézmény-üzemeltetési támogatás</t>
  </si>
  <si>
    <t>Szociális ágazati pótlék</t>
  </si>
  <si>
    <t>Szociális feladatok egyéb támogatása</t>
  </si>
  <si>
    <t xml:space="preserve">B114 </t>
  </si>
  <si>
    <t>A települési önkormányzatok kulturális feladatainak támogatása</t>
  </si>
  <si>
    <t>B115</t>
  </si>
  <si>
    <t>Működési célú költségvetési támogatások és kiegészítő támogatások</t>
  </si>
  <si>
    <t>B21</t>
  </si>
  <si>
    <t>Felhalmozási célú önkormányzati támogatások</t>
  </si>
  <si>
    <t>B814</t>
  </si>
  <si>
    <t>Államháztartáson belüli megelőlegezések</t>
  </si>
  <si>
    <t>018020 Központi költségvetési befizetések</t>
  </si>
  <si>
    <t>066020 Város -, községgazdálkodási egyéb szolgáltatások</t>
  </si>
  <si>
    <t>041233 Hosszabb időtartamú közfoglalkoztatás</t>
  </si>
  <si>
    <t>B16</t>
  </si>
  <si>
    <t>Egyéb működési célú támogatások bevételei államháztartáson belülről</t>
  </si>
  <si>
    <t>082092 Közművelődés- hagyományos közösségi kulturális értékek gondozása</t>
  </si>
  <si>
    <t>104051 Gyermekvédelmi pénzbeni és természetbeni elltások</t>
  </si>
  <si>
    <t>BEVÉTELEK ÖSSZESEN</t>
  </si>
  <si>
    <t>Jogcím csoportok</t>
  </si>
  <si>
    <t>Pénzügyi teljesítés a mód. előirányzathoz képest</t>
  </si>
  <si>
    <t>Egyéb működési célú támogatások bevételei államháztaráson belülről</t>
  </si>
  <si>
    <t>Egyéb működési bevétel</t>
  </si>
  <si>
    <t>BEVÉTELEK ÖSSZESEN:</t>
  </si>
  <si>
    <t>2018. évi BEVÉTELEK feladatonkénti  bontása</t>
  </si>
  <si>
    <t>Előirányzatok adatok Ft-ban</t>
  </si>
  <si>
    <t xml:space="preserve">kötelező feladatok </t>
  </si>
  <si>
    <t>önként vállalt feladatok</t>
  </si>
  <si>
    <t>államigazgatási feladatok</t>
  </si>
  <si>
    <t>Összesen:</t>
  </si>
  <si>
    <t>011130 Önkormányzatok és önkormányzati hivatalok és j.ált. igazgatási tevékenysége</t>
  </si>
  <si>
    <t>066020 Város és községgazdálkodási szolgáltatás</t>
  </si>
  <si>
    <t>102023 Időskorúak tartós bentlakásos ellátása</t>
  </si>
  <si>
    <t>ÖSSZESEN:</t>
  </si>
  <si>
    <t xml:space="preserve">2018. évi költségvetés kiadásai </t>
  </si>
  <si>
    <t>kiemelt előirányzatonként</t>
  </si>
  <si>
    <t>Létszám</t>
  </si>
  <si>
    <t>1,00</t>
  </si>
  <si>
    <t>Személyi juttatások</t>
  </si>
  <si>
    <t>K11</t>
  </si>
  <si>
    <t>Foglalkoztatottak személyi juttatása</t>
  </si>
  <si>
    <t>K1101</t>
  </si>
  <si>
    <t>Törvény szerinti illetmények, munkabérek</t>
  </si>
  <si>
    <t>K1103</t>
  </si>
  <si>
    <t>Jutalom</t>
  </si>
  <si>
    <t>K1113</t>
  </si>
  <si>
    <t>Foglalkoztatottak egyéb személyi juttatásai</t>
  </si>
  <si>
    <t>K12</t>
  </si>
  <si>
    <t>Külső személyi juttatások</t>
  </si>
  <si>
    <t>K121</t>
  </si>
  <si>
    <t>Polgármester tiszteletdíja, költségtérítés</t>
  </si>
  <si>
    <t>Önkormányzati  képviselők juttatása</t>
  </si>
  <si>
    <t>Munkaadókat terhelő járulékok és szociális hozzájárulási adó</t>
  </si>
  <si>
    <t>Szociális hozzájárulási adó</t>
  </si>
  <si>
    <t>K31</t>
  </si>
  <si>
    <t>Készletbeszerzés</t>
  </si>
  <si>
    <t>K311</t>
  </si>
  <si>
    <t>Szakmai anyagok beszerzése</t>
  </si>
  <si>
    <t>Könyv, folyóirat</t>
  </si>
  <si>
    <t>K312</t>
  </si>
  <si>
    <t>Üzemeltetési anyagok berszerzése</t>
  </si>
  <si>
    <t>Irodaszer, nyomtatvány</t>
  </si>
  <si>
    <t>Nyomtatási feladatokkal összefüggő feladatok</t>
  </si>
  <si>
    <t>Egyéb anyagbeszerzés</t>
  </si>
  <si>
    <t>K32</t>
  </si>
  <si>
    <t>Kommunikációs szolgáltatások</t>
  </si>
  <si>
    <t>K321</t>
  </si>
  <si>
    <t>Informatikai szolgáltatások igénybevétele</t>
  </si>
  <si>
    <t>Internet</t>
  </si>
  <si>
    <t>Adatrögzítés, adatfeldolgozás</t>
  </si>
  <si>
    <t>Internetes oldalak tervezése, működtetése</t>
  </si>
  <si>
    <t>K322</t>
  </si>
  <si>
    <t>Egyéb kommunikációs szolgáltatások</t>
  </si>
  <si>
    <t>Telefondíj</t>
  </si>
  <si>
    <t>K33</t>
  </si>
  <si>
    <t>Szolgáltatási kiadások</t>
  </si>
  <si>
    <t>K331</t>
  </si>
  <si>
    <t>Közüzemi díjak</t>
  </si>
  <si>
    <t>Villamosenergia</t>
  </si>
  <si>
    <t>Gázenergia</t>
  </si>
  <si>
    <t>Víz- és csatornadíjak</t>
  </si>
  <si>
    <t>K334</t>
  </si>
  <si>
    <t>Karbantartási, kisjavítási szolgáltatások</t>
  </si>
  <si>
    <t>K337</t>
  </si>
  <si>
    <t>Egyéb szolgáltatások</t>
  </si>
  <si>
    <t>Postaköltség</t>
  </si>
  <si>
    <t>Biztosítási díjak</t>
  </si>
  <si>
    <t>Pénzügyi, befektetési díj</t>
  </si>
  <si>
    <t>Más egyéb szolgáltatások</t>
  </si>
  <si>
    <t>K34</t>
  </si>
  <si>
    <t>Kiküldetések,reklám és propagandakiadások</t>
  </si>
  <si>
    <t>K341</t>
  </si>
  <si>
    <t>Kiküldetés kiadásai</t>
  </si>
  <si>
    <t>K35</t>
  </si>
  <si>
    <t>Különféle befizetések és egyéb dologi kiadások</t>
  </si>
  <si>
    <t>K351</t>
  </si>
  <si>
    <t>Működési célú előzetesen felszámított áfa</t>
  </si>
  <si>
    <t>K355</t>
  </si>
  <si>
    <t>Egyéb dologi kiadások</t>
  </si>
  <si>
    <t>K506</t>
  </si>
  <si>
    <t>Egyéb működési célú támogatások államháztartáson belülre</t>
  </si>
  <si>
    <t>Támogatásértékű működési kiadás önkormányzatoknak (Kővágóörsi Közös Önkormányzati Hivatal)</t>
  </si>
  <si>
    <t>Belső ellenőrzési feladatokhoz hozzájárulás</t>
  </si>
  <si>
    <t>Társulások és költségvetési szerveik (Tp Környéki Önk.Társulás)</t>
  </si>
  <si>
    <t>K512</t>
  </si>
  <si>
    <t>Egyéb működési célú támogatások államháztartáson kívülre</t>
  </si>
  <si>
    <t>K513</t>
  </si>
  <si>
    <t>Tartalékok</t>
  </si>
  <si>
    <t>K914</t>
  </si>
  <si>
    <t>Államháztartáson belüli megelőlegezések visszafizetése</t>
  </si>
  <si>
    <t>K91</t>
  </si>
  <si>
    <t>Belföldi finanszírozás kiadásai</t>
  </si>
  <si>
    <t>K915</t>
  </si>
  <si>
    <t>Központi, irányító szervi támogatás folyósítása (Idősek Otthonának)</t>
  </si>
  <si>
    <t>K123</t>
  </si>
  <si>
    <t>Egyszerűsített foglalkoztatottak juttatásai és közterhei</t>
  </si>
  <si>
    <t>Egészségügyi hozzájárulás</t>
  </si>
  <si>
    <t>Hajtó, és kenőanyagok</t>
  </si>
  <si>
    <t>K62</t>
  </si>
  <si>
    <t>Ingatlanok beszerzése, létesítése</t>
  </si>
  <si>
    <t>K67</t>
  </si>
  <si>
    <t>Beruházási célú előzetesen felszámított általános forgalmi adó</t>
  </si>
  <si>
    <t>K71</t>
  </si>
  <si>
    <t>Ingatlanok felújítása</t>
  </si>
  <si>
    <t>K74</t>
  </si>
  <si>
    <t xml:space="preserve">Felújítási célú előzetesen felszámított áfa </t>
  </si>
  <si>
    <t>072112 Háziorvosi ügyeleti ellátás</t>
  </si>
  <si>
    <t>K61</t>
  </si>
  <si>
    <t>Immateriális javak beszerzése</t>
  </si>
  <si>
    <t>074031 Család és nővédelmi egészségügyi gondozás</t>
  </si>
  <si>
    <t xml:space="preserve">Támogatásértékű működési kiadás önkormányzatoknak </t>
  </si>
  <si>
    <t>091140 Óvodai nevelés, ellátás működtetési feladatai</t>
  </si>
  <si>
    <t>Támogatásértékű működési kiadás társulásnak</t>
  </si>
  <si>
    <t>066010 Zöldterület - kezelés</t>
  </si>
  <si>
    <t>Üzemeltetési anyagok beszerzése</t>
  </si>
  <si>
    <t>064010 Közvilágítás</t>
  </si>
  <si>
    <t>107055 Falugondnoki, tanyagondnoki szolgáltatás</t>
  </si>
  <si>
    <t>Munka és védőruha</t>
  </si>
  <si>
    <t>Táppénz hozzájárulás kiadásai</t>
  </si>
  <si>
    <t>107052 Házi segítségnyújtás</t>
  </si>
  <si>
    <t>Társulások és költségvetési szerveik</t>
  </si>
  <si>
    <t>107060 Egyéb szociális pénzbeli és természetbeni ellátások, támogatások</t>
  </si>
  <si>
    <t>Ellátottak pénzbeli támogatásai</t>
  </si>
  <si>
    <t>K48</t>
  </si>
  <si>
    <t>Egyéb nem intézményi ellátások</t>
  </si>
  <si>
    <t>Települési támogatás</t>
  </si>
  <si>
    <t>106020 Lakásfenntartással, lakhatással összefüggő ellátások</t>
  </si>
  <si>
    <t>082044 Könyvtári szolgáltatások</t>
  </si>
  <si>
    <t>082092 Közművelődés - hagyományos közösségi kulturális értékek gondozása</t>
  </si>
  <si>
    <t>031060 Bűnmegelőzés</t>
  </si>
  <si>
    <t>Működési célú pénzeszköz átadás egyéb civil szervezeteknek</t>
  </si>
  <si>
    <t>032020 Tűz- és katasztrófavédelmi tevékenységek</t>
  </si>
  <si>
    <t>K502</t>
  </si>
  <si>
    <t>Előző évi elszámolásokból származó kiadások</t>
  </si>
  <si>
    <t>104051 Gyermekvédelmi pénzbeli és természetbeni ellátások</t>
  </si>
  <si>
    <t>Gyermekvédelmni Erzsébet utalvány</t>
  </si>
  <si>
    <r>
      <rPr>
        <b/>
        <sz val="12"/>
        <rFont val="Times New Roman"/>
        <family val="1"/>
      </rPr>
      <t xml:space="preserve">KIADÁSOK ÖSSZESEN                                                                                   </t>
    </r>
    <r>
      <rPr>
        <b/>
        <i/>
        <sz val="12"/>
        <rFont val="Times New Roman"/>
        <family val="1"/>
      </rPr>
      <t>fő</t>
    </r>
  </si>
  <si>
    <t>Kiadások Összesen:</t>
  </si>
  <si>
    <t>MINDSZENTKÁLLA  KÖZSÉG ÖNKORMÁNYZATA</t>
  </si>
  <si>
    <t>2018. évi KIADÁSOK feladatonkénti  bontása</t>
  </si>
  <si>
    <t>Pénzügyi teljesítés adatok (Ft-ban)</t>
  </si>
  <si>
    <t>066010 Zöldterületek kezelése</t>
  </si>
  <si>
    <t>011130 Önkormányzatokés önkormányzati hivatalok és j.ált. igazgatási tevékenysége</t>
  </si>
  <si>
    <t>064010 Közvilágítási feladatok</t>
  </si>
  <si>
    <t xml:space="preserve">072112 Háziorvosi ügyeleti ellátás </t>
  </si>
  <si>
    <t>074031 Család- és nővédelmi egészségügyi gondozás</t>
  </si>
  <si>
    <t>082092 Közművelődés-hagyományos közösségi kulturális értékek gondozása</t>
  </si>
  <si>
    <t xml:space="preserve"> </t>
  </si>
  <si>
    <t>Tájékoztató adatok a MŰKÖDÉSI bevételek és kiadások alakulásáról</t>
  </si>
  <si>
    <t>Megnevezés</t>
  </si>
  <si>
    <t>2016. teljesítés (adatok Ft-ban)</t>
  </si>
  <si>
    <t>2017. teljesítés (adatok Ft-ban)</t>
  </si>
  <si>
    <t>2018. terv (adatok Ft-ban)</t>
  </si>
  <si>
    <t>2018. módosított (adatok Ft-ban)</t>
  </si>
  <si>
    <t>2018. Pénzügyi teljesítés (adatok Ft-ban)</t>
  </si>
  <si>
    <t>Pénzügyi teljesítés a mód. Ei. képest (%)</t>
  </si>
  <si>
    <t>Működési célú bevételek összesen</t>
  </si>
  <si>
    <t>Munkaadókat terhelő járulékok</t>
  </si>
  <si>
    <t xml:space="preserve">Dologi kiadások </t>
  </si>
  <si>
    <t>Ellátottak pénzbeli juttatása</t>
  </si>
  <si>
    <t xml:space="preserve">K9 </t>
  </si>
  <si>
    <t>Működési célú kiadások összesen</t>
  </si>
  <si>
    <t>Tájékotató adatok a FELHALMOZÁSI célú bevételek és kiadások alakulásáról</t>
  </si>
  <si>
    <t>B5</t>
  </si>
  <si>
    <t>Felhalmozási bevételek</t>
  </si>
  <si>
    <t>B7</t>
  </si>
  <si>
    <t>Felhalmozási célú átvett pénzeszközök</t>
  </si>
  <si>
    <t>Felhalmozási célú bevételek összesen</t>
  </si>
  <si>
    <t xml:space="preserve">K8 </t>
  </si>
  <si>
    <t>Egyéb felhalmozási célú kiadások</t>
  </si>
  <si>
    <t>Felhalmozási célú kiadások összesen</t>
  </si>
  <si>
    <t>BEVÉTELEK összesen</t>
  </si>
  <si>
    <t>KIADÁSOK összesen</t>
  </si>
  <si>
    <t>2018. évi költségvetés FELÚJÍTÁSI kiadásai célonkénti bontásban</t>
  </si>
  <si>
    <t>(adatok Ft-ban)</t>
  </si>
  <si>
    <t>Pénzügyi teljesítés 2018</t>
  </si>
  <si>
    <t>Pénzügyi teljesítés mód. előirányzathoz képest %-ban</t>
  </si>
  <si>
    <t>Orvosi rendelő felújítása</t>
  </si>
  <si>
    <t>Faluház nyílászáró csere</t>
  </si>
  <si>
    <t>Felújítások összesen:</t>
  </si>
  <si>
    <t>2018. évi költségvetés BERUHÁZÁSI kiadásai feladatonkénti bontásban</t>
  </si>
  <si>
    <t>Vízelvezető árkok burkolása</t>
  </si>
  <si>
    <t>Temetői nyilvántartó program</t>
  </si>
  <si>
    <t>Beruházások összesen:</t>
  </si>
  <si>
    <t>KÁLI - MEDENCE IDŐSEK OTTHONA</t>
  </si>
  <si>
    <t>2018. évi BEVÉTELEK részletezése</t>
  </si>
  <si>
    <t xml:space="preserve">102023 Időskorúak tartós bentlakásos ellátása                             </t>
  </si>
  <si>
    <t>B405</t>
  </si>
  <si>
    <t>Ellátási díjak</t>
  </si>
  <si>
    <t>-</t>
  </si>
  <si>
    <t>B816</t>
  </si>
  <si>
    <t>Központi, irányító szervi támogatás</t>
  </si>
  <si>
    <t>018030 Támogatási célú finanaszírozási műveletek</t>
  </si>
  <si>
    <t xml:space="preserve">041233 Hosszabb időtartamú közfoglalkoztatás               </t>
  </si>
  <si>
    <t>2018. évi KIADÁSOK részletezése</t>
  </si>
  <si>
    <t>Létszám (fő)</t>
  </si>
  <si>
    <t>K1104</t>
  </si>
  <si>
    <t xml:space="preserve">Készenléti, ügyeleti, helyettesítési díj </t>
  </si>
  <si>
    <t>K1109</t>
  </si>
  <si>
    <t>Közlekedési költségtérítés</t>
  </si>
  <si>
    <t>Gyógyszerbeszerzés</t>
  </si>
  <si>
    <t>Folyóirat beszerzés</t>
  </si>
  <si>
    <t>Élelmiszer beszerzés</t>
  </si>
  <si>
    <t xml:space="preserve">K332 </t>
  </si>
  <si>
    <t>Vásárolt élelmezés</t>
  </si>
  <si>
    <t>Rovarirtás</t>
  </si>
  <si>
    <t>Kéményseprés</t>
  </si>
  <si>
    <t>Más egyéb szolgáltatás</t>
  </si>
  <si>
    <t>Pénzügyi szolgáltatási kiadások</t>
  </si>
  <si>
    <t>Belföldi kiküldetés</t>
  </si>
  <si>
    <t>K64</t>
  </si>
  <si>
    <t>Egyéb tárgyi eszközök beszerzése</t>
  </si>
  <si>
    <t>Beruházási célú előzetesen felszámított áfa</t>
  </si>
  <si>
    <t>Céljutalom projektprémiumutalom</t>
  </si>
  <si>
    <t>Egyéb személyi juttatások</t>
  </si>
  <si>
    <t>Létszámkeret:</t>
  </si>
  <si>
    <t>Kiadások összesen:</t>
  </si>
  <si>
    <t>Tárgyi eszközök beszerzése, létesítése</t>
  </si>
  <si>
    <t>Ágyak beszerzése</t>
  </si>
  <si>
    <t>Mosogatógép beszerzése</t>
  </si>
  <si>
    <t xml:space="preserve">Szárítógép beszerzése </t>
  </si>
  <si>
    <t>07/A - Maradványkimutatás</t>
  </si>
  <si>
    <t>#</t>
  </si>
  <si>
    <t>Összeg</t>
  </si>
  <si>
    <t>01</t>
  </si>
  <si>
    <t>01        Alaptevékenység költségvetési bevételei</t>
  </si>
  <si>
    <t>02</t>
  </si>
  <si>
    <t>02        Alaptevékenység költségvetési kiadásai</t>
  </si>
  <si>
    <t>03</t>
  </si>
  <si>
    <t>I          Alaptevékenység költségvetési egyenlege (=01-02)</t>
  </si>
  <si>
    <t>04</t>
  </si>
  <si>
    <t>03        Alaptevékenység finanszírozási bevételei</t>
  </si>
  <si>
    <t>05</t>
  </si>
  <si>
    <t>04        Alaptevékenység finanszírozási kiadásai</t>
  </si>
  <si>
    <t>06</t>
  </si>
  <si>
    <t>II         Alaptevékenység finanszírozási egyenlege (=03-04)</t>
  </si>
  <si>
    <t>07</t>
  </si>
  <si>
    <t>A)        Alaptevékenység maradványa (=±I±II)</t>
  </si>
  <si>
    <t>15</t>
  </si>
  <si>
    <t>C)        Összes maradvány (=A+B)</t>
  </si>
  <si>
    <t>17</t>
  </si>
  <si>
    <t>E)        Alaptevékenység szabad maradványa (=A-D)</t>
  </si>
  <si>
    <t>12/A - Mérleg</t>
  </si>
  <si>
    <t>Előző időszak</t>
  </si>
  <si>
    <t>Módosítások (+/-)</t>
  </si>
  <si>
    <t>Tárgyi időszak</t>
  </si>
  <si>
    <t>A/I/2 Szellemi termékek</t>
  </si>
  <si>
    <t>A/I Immateriális javak (=A/I/1+A/I/2+A/I/3)</t>
  </si>
  <si>
    <t>A/II/1 Ingatlanok és a kapcsolódó vagyoni értékű jogok</t>
  </si>
  <si>
    <t>A/II/2 Gépek, berendezések, felszerelések, járművek</t>
  </si>
  <si>
    <t>10</t>
  </si>
  <si>
    <t>A/II Tárgyi eszközök  (=A/II/1+...+A/II/5)</t>
  </si>
  <si>
    <t>11</t>
  </si>
  <si>
    <t>A/III/1 Tartós részesedések (=A/III/1a+…+A/III/1e)</t>
  </si>
  <si>
    <t>16</t>
  </si>
  <si>
    <t>A/III/1e - ebből: egyéb tartós részesedések</t>
  </si>
  <si>
    <t>21</t>
  </si>
  <si>
    <t>A/III Befektetett pénzügyi eszközök (=A/III/1+A/III/2+A/III/3)</t>
  </si>
  <si>
    <t>22</t>
  </si>
  <si>
    <t>A/IV/1 Koncesszióba, vagyonkezelésbe adott eszközök (=A/IV/1a+A/IV/1b+A/IV/1c)</t>
  </si>
  <si>
    <t>24</t>
  </si>
  <si>
    <t>A/IV/1b - ebből: tárgyi eszközök</t>
  </si>
  <si>
    <t>27</t>
  </si>
  <si>
    <t>A/IV Koncesszióba, vagyonkezelésbe adott eszközök (=A/IV/1+A/IV/2)</t>
  </si>
  <si>
    <t>28</t>
  </si>
  <si>
    <t>A) NEMZETI VAGYONBA TARTOZÓ BEFEKTETETT ESZKÖZÖK (=A/I+A/II+A/III+A/IV)</t>
  </si>
  <si>
    <t>47</t>
  </si>
  <si>
    <t>C/II/1 Forintpénztár</t>
  </si>
  <si>
    <t>50</t>
  </si>
  <si>
    <t>C/II Pénztárak, csekkek, betétkönyvek (=C/II/1+C/II/2+C/II/3)</t>
  </si>
  <si>
    <t>51</t>
  </si>
  <si>
    <t>C/III/1 Kincstáron kívüli forintszámlák</t>
  </si>
  <si>
    <t>53</t>
  </si>
  <si>
    <t>C/III Forintszámlák (=C/III/1+C/III/2)</t>
  </si>
  <si>
    <t>57</t>
  </si>
  <si>
    <t>C) PÉNZESZKÖZÖK (=C/I+…+C/IV)</t>
  </si>
  <si>
    <t>62</t>
  </si>
  <si>
    <t>D/I/3 Költségvetési évben esedékes követelések közhatalmi bevételre (=D/I/3a+…+D/I/3f)</t>
  </si>
  <si>
    <t>66</t>
  </si>
  <si>
    <t>D/I/3d - ebből: költségvetési évben esedékes követelések vagyoni típusú adókra</t>
  </si>
  <si>
    <t>67</t>
  </si>
  <si>
    <t>D/I/3e - ebből: költségvetési évben esedékes követelések termékek és szolgáltatások adóira</t>
  </si>
  <si>
    <t>68</t>
  </si>
  <si>
    <t>D/I/3f - ebből: költségvetési évben esedékes követelések egyéb közhatalmi bevételekre</t>
  </si>
  <si>
    <t>69</t>
  </si>
  <si>
    <t>D/I/4 Költségvetési évben esedékes követelések működési bevételre (=D/I/4a+…+D/I/4i)</t>
  </si>
  <si>
    <t>70</t>
  </si>
  <si>
    <t>D/I/4a - ebből: költségvetési évben esedékes követelések készletértékesítés ellenértékére, szolgáltatások ellenértékére, közvetített szolgáltatások ellenértékére</t>
  </si>
  <si>
    <t>71</t>
  </si>
  <si>
    <t>D/I/4b - ebből: költségvetési évben esedékes követelések tulajdonosi bevételekre</t>
  </si>
  <si>
    <t>78</t>
  </si>
  <si>
    <t>D/I/4i - ebből: költségvetési évben esedékes követelések egyéb működési bevételekre</t>
  </si>
  <si>
    <t>101</t>
  </si>
  <si>
    <t>D/I Költségvetési évben esedékes követelések (=D/I/1+…+D/I/8)</t>
  </si>
  <si>
    <t>143</t>
  </si>
  <si>
    <t>D/III/1 Adott előlegek (=D/III/1a+…+D/III/1f)</t>
  </si>
  <si>
    <t>149</t>
  </si>
  <si>
    <t>D/III/1f - ebből: túlfizetések, téves és visszajáró kifizetések</t>
  </si>
  <si>
    <t>152</t>
  </si>
  <si>
    <t>D/III/4 Forgótőke elszámolása</t>
  </si>
  <si>
    <t>158</t>
  </si>
  <si>
    <t>D/III Követelés jellegű sajátos elszámolások (=D/III/1+…+D/III/9)</t>
  </si>
  <si>
    <t>159</t>
  </si>
  <si>
    <t>D) KÖVETELÉSEK  (=D/I+D/II+D/III)</t>
  </si>
  <si>
    <t>168</t>
  </si>
  <si>
    <t>E/III/1 December havi illetmények, munkabérek elszámolása</t>
  </si>
  <si>
    <t>170</t>
  </si>
  <si>
    <t>E/III Egyéb sajátos eszközoldali elszámolások (=E/III/1+E/III/2)</t>
  </si>
  <si>
    <t>171</t>
  </si>
  <si>
    <t>E) EGYÉB SAJÁTOS ELSZÁMOLÁSOK (=E/I+E/II+E/III)</t>
  </si>
  <si>
    <t>176</t>
  </si>
  <si>
    <t>ESZKÖZÖK ÖSSZESEN (=A+B+C+D+E+F)</t>
  </si>
  <si>
    <t>177</t>
  </si>
  <si>
    <t>G/I  Nemzeti vagyon induláskori értéke</t>
  </si>
  <si>
    <t>178</t>
  </si>
  <si>
    <t>G/II Nemzeti vagyon változásai</t>
  </si>
  <si>
    <t>179</t>
  </si>
  <si>
    <t>G/III Egyéb eszközök induláskori értéke és változásai</t>
  </si>
  <si>
    <t>180</t>
  </si>
  <si>
    <t>G/IV Felhalmozott eredmény</t>
  </si>
  <si>
    <t>182</t>
  </si>
  <si>
    <t>G/VI Mérleg szerinti eredmény</t>
  </si>
  <si>
    <t>183</t>
  </si>
  <si>
    <t>G/ SAJÁT TŐKE  (= G/I+…+G/VI)</t>
  </si>
  <si>
    <t>186</t>
  </si>
  <si>
    <t>H/I/3 Költségvetési évben esedékes kötelezettségek dologi kiadásokra</t>
  </si>
  <si>
    <t>187</t>
  </si>
  <si>
    <t>H/I/4 Költségvetési évben esedékes kötelezettségek ellátottak pénzbeli juttatásaira</t>
  </si>
  <si>
    <t>209</t>
  </si>
  <si>
    <t>H/I Költségvetési évben esedékes kötelezettségek (=H/I/1+…+H/I/9)</t>
  </si>
  <si>
    <t>222</t>
  </si>
  <si>
    <t>H/II/9 Költségvetési évet követően esedékes kötelezettségek finanszírozási kiadásokra (&gt;=H/II/9a+…+H/II/9j)</t>
  </si>
  <si>
    <t>227</t>
  </si>
  <si>
    <t>H/II/9e - ebből: költségvetési évet követően esedékes kötelezettségek államháztartáson belüli megelőlegezések visszafizetésére</t>
  </si>
  <si>
    <t>233</t>
  </si>
  <si>
    <t>H/II Költségvetési évet követően esedékes kötelezettségek (=H/II/1+…+H/II/9)</t>
  </si>
  <si>
    <t>234</t>
  </si>
  <si>
    <t>H/III/1 Kapott előlegek</t>
  </si>
  <si>
    <t>236</t>
  </si>
  <si>
    <t>H/III/3 Más szervezetet megillető bevételek elszámolása</t>
  </si>
  <si>
    <t>243</t>
  </si>
  <si>
    <t>H/III Kötelezettség jellegű sajátos elszámolások (=H/III/1+…+H/III/10)</t>
  </si>
  <si>
    <t>244</t>
  </si>
  <si>
    <t>H) KÖTELEZETTSÉGEK (=H/I+H/II+H/III)</t>
  </si>
  <si>
    <t>247</t>
  </si>
  <si>
    <t>J/2 Költségek, ráfordítások passzív időbeli elhatárolása</t>
  </si>
  <si>
    <t>249</t>
  </si>
  <si>
    <t>J) PASSZÍV IDŐBELI ELHATÁROLÁSOK (=J/1+J/2+J/3)</t>
  </si>
  <si>
    <t>250</t>
  </si>
  <si>
    <t>FORRÁSOK ÖSSZESEN (=G+H+I+J)</t>
  </si>
  <si>
    <t>13/A - Eredménykimutatás</t>
  </si>
  <si>
    <t>01 Közhatalmi eredményszemléletű bevételek</t>
  </si>
  <si>
    <t>02 Eszközök és szolgáltatások értékesítése nettó eredményszemléletű bevételei</t>
  </si>
  <si>
    <t>03 Tevékenység egyéb nettó eredményszemléletű bevételei</t>
  </si>
  <si>
    <t>I Tevékenység nettó eredményszemléletű bevétele (=01+02+03)</t>
  </si>
  <si>
    <t>08</t>
  </si>
  <si>
    <t>06 Központi működési célú támogatások eredményszemléletű bevételei</t>
  </si>
  <si>
    <t>09</t>
  </si>
  <si>
    <t>07 Egyéb működési célú támogatások eredményszemléletű bevételei</t>
  </si>
  <si>
    <t>08 Felhalmozási célú támogatások eredményszemléletű bevételei</t>
  </si>
  <si>
    <t>09 Különféle egyéb eredményszemléletű bevételek</t>
  </si>
  <si>
    <t>12</t>
  </si>
  <si>
    <t>III Egyéb eredményszemléletű bevételek (=06+07+08+09)</t>
  </si>
  <si>
    <t>13</t>
  </si>
  <si>
    <t>10 Anyagköltség</t>
  </si>
  <si>
    <t>14</t>
  </si>
  <si>
    <t>11 Igénybe vett szolgáltatások értéke</t>
  </si>
  <si>
    <t>IV Anyagjellegű ráfordítások (=10+11+12+13)</t>
  </si>
  <si>
    <t>18</t>
  </si>
  <si>
    <t>14 Bérköltség</t>
  </si>
  <si>
    <t>19</t>
  </si>
  <si>
    <t>15 Személyi jellegű egyéb kifizetések</t>
  </si>
  <si>
    <t>20</t>
  </si>
  <si>
    <t>16 Bérjárulékok</t>
  </si>
  <si>
    <t>V Személyi jellegű ráfordítások (=14+15+16)</t>
  </si>
  <si>
    <t>VI Értékcsökkenési leírás</t>
  </si>
  <si>
    <t>23</t>
  </si>
  <si>
    <t>VII Egyéb ráfordítások</t>
  </si>
  <si>
    <t>A)  TEVÉKENYSÉGEK EREDMÉNYE (=I±II+III-IV-V-VI-VII)</t>
  </si>
  <si>
    <t>20 Egyéb kapott (járó) kamatok és kamatjellegű eredményszemléletű bevételek</t>
  </si>
  <si>
    <t>32</t>
  </si>
  <si>
    <t>VIII Pénzügyi műveletek eredményszemléletű bevételei (=17+18+19+20+21)</t>
  </si>
  <si>
    <t>43</t>
  </si>
  <si>
    <t>B)  PÉNZÜGYI MŰVELETEK EREDMÉNYE (=VIII-IX)</t>
  </si>
  <si>
    <t>44</t>
  </si>
  <si>
    <t>C)  MÉRLEG SZERINTI EREDMÉNY (=±A±B)</t>
  </si>
  <si>
    <t>15/A - Kimutatás az immateriális javak, tárgyi eszközök koncesszióba, vagyonkezelésbe adott eszközök állományának alakulásáról</t>
  </si>
  <si>
    <t>Immateriális javak</t>
  </si>
  <si>
    <t>Ingatlanok és kapcsolódó vagyoni értékű jogok</t>
  </si>
  <si>
    <t>Gépek, berendezések, felszerelések, járművek</t>
  </si>
  <si>
    <t>Tenyészállatok</t>
  </si>
  <si>
    <t>Beruházások és felújítások</t>
  </si>
  <si>
    <t>Koncesszióba, vagyonkezelésbe adott eszközök</t>
  </si>
  <si>
    <t>Összesen (=3+4+5+6+7+8)</t>
  </si>
  <si>
    <t>Tárgyévi nyitó állomány (előző évi záró állomány)</t>
  </si>
  <si>
    <t>Nem aktivált felújítások</t>
  </si>
  <si>
    <t>Beruházásokból, felújításokból aktivált érték</t>
  </si>
  <si>
    <t>Egyéb növekedés</t>
  </si>
  <si>
    <t>Összes növekedés  (=02+…+07)</t>
  </si>
  <si>
    <t>Egyéb csökkenés</t>
  </si>
  <si>
    <t>Összes csökkenés (=09+…+13)</t>
  </si>
  <si>
    <t>Bruttó érték összesen (=01+08-14)</t>
  </si>
  <si>
    <t>Terv szerinti értékcsökkenés nyitó állománya</t>
  </si>
  <si>
    <t>Terv szerinti értékcsökkenés növekedése</t>
  </si>
  <si>
    <t>Terv szerinti értékcsökkenés záró állománya  (=16+17-18)</t>
  </si>
  <si>
    <t>Értékcsökkenés összesen (=19+23)</t>
  </si>
  <si>
    <t>25</t>
  </si>
  <si>
    <t>Eszközök nettó értéke (=15-24)</t>
  </si>
  <si>
    <t>26</t>
  </si>
  <si>
    <t>Teljesen (0-ig) leírt eszközök bruttó értéke</t>
  </si>
  <si>
    <t>08 - Adatszolgáltatás a személyi juttatások és a foglalkoztatottak, választott tisztségviselők összetételéréről</t>
  </si>
  <si>
    <t>Létszám fő (Tervezett átlagos statisztikai állományi létszám, éves)</t>
  </si>
  <si>
    <t>Normatív jutalmak, céljuttatás, projektprémium</t>
  </si>
  <si>
    <t>Készenléti, ügyeleti, helyettesítési díj, túlóra, túlszolgálat</t>
  </si>
  <si>
    <t>Végkielégítés, jubileumi jutalom</t>
  </si>
  <si>
    <t>Béren kívüli juttatások</t>
  </si>
  <si>
    <t>Költség-térítések</t>
  </si>
  <si>
    <t>Támogatások</t>
  </si>
  <si>
    <t>Foglalkoztatot-tak egyéb személyi juttatásai</t>
  </si>
  <si>
    <t>Választott tisztségviselők juttatásai</t>
  </si>
  <si>
    <t>"A", "B" fizetési osztály összesen</t>
  </si>
  <si>
    <t>36</t>
  </si>
  <si>
    <t>KÖZALKALMAZOTTAK ÖSSZESEN (=23+...+35)</t>
  </si>
  <si>
    <t>fizikai alkalmazott, a költségvetési szerveknél foglalkoztatott egyéb munkavállaló  (fizikai alkalmazott)</t>
  </si>
  <si>
    <t>64</t>
  </si>
  <si>
    <t>közfoglalkoztatott</t>
  </si>
  <si>
    <t>EGYÉB BÉRRENDSZER ÖSSZESEN (=59+…+65)</t>
  </si>
  <si>
    <t>75</t>
  </si>
  <si>
    <t>polgármester, főpolgármester</t>
  </si>
  <si>
    <t>76</t>
  </si>
  <si>
    <t>helyi önkormányzati képviselő-testület tagja, megyei közgyűlés tagja</t>
  </si>
  <si>
    <t>77</t>
  </si>
  <si>
    <t>alpolgármester, főpolgármester-helyettes, megyei közgyűlés elnöke, alelnöke</t>
  </si>
  <si>
    <t>VÁLASZTOTT TISZTSÉGVISELŐK ÖSSZESEN (=67+...+77)</t>
  </si>
  <si>
    <t>79</t>
  </si>
  <si>
    <t>FOGLALKOZTATOTTAK ÖSSZESEN (=22+36+47+53+58+66+78)</t>
  </si>
  <si>
    <t>84</t>
  </si>
  <si>
    <t>Átlagos statisztikai állományi létszám (tényleges éves átlagos statisztikai állományi létszám) (fő)</t>
  </si>
  <si>
    <t>72</t>
  </si>
  <si>
    <t>D/I/4c - ebből: költségvetési évben esedékes követelések ellátási díjakra</t>
  </si>
  <si>
    <t>Immateriális javak beszerzése, nem aktivált beruházások</t>
  </si>
  <si>
    <t>Normatív jutalmak, céljuttatás, projekt-prémium</t>
  </si>
  <si>
    <t>Foglalkoz-tatottak egyéb személyi juttatásai</t>
  </si>
  <si>
    <t>igazgató (főigazgató), igazgatóhelyettes (főigazgató-helyettes)</t>
  </si>
  <si>
    <t>"C", "D" fizetési osztály összesen</t>
  </si>
  <si>
    <t>"E" - "J" fizetési osztály összesen</t>
  </si>
  <si>
    <t>80</t>
  </si>
  <si>
    <t>Zárólétszám (az időszak végén munkavégzésre irányuló jogviszonyban állók statisztikai állományi létszáma) (fő)</t>
  </si>
  <si>
    <t>81</t>
  </si>
  <si>
    <t>Munkajogi zárólétszám (az időszak végén munkaviszonyban állók létszáma) (fő)</t>
  </si>
  <si>
    <t>1. melléklet a 7/2019. (V. 30.) önkormányzati rendelethez</t>
  </si>
  <si>
    <t>2. melléklet a 7/2019. (V. 30.) önkormányzati rendelethez</t>
  </si>
  <si>
    <t>3. melléklet a 6/2019. (V. 30.) önkormányzati rendelethez</t>
  </si>
  <si>
    <t>4. melléklet a 7/2019. (V.30.) önkormányzati rendelethez</t>
  </si>
  <si>
    <t>5. melléklet a 7/2019. (V. 30.) önkormányzati rendelethez</t>
  </si>
  <si>
    <t>6. melléklet a 7/2019. (V. 30.) önkormányzati rendelethez</t>
  </si>
  <si>
    <t xml:space="preserve">7. melléklet a 7/2019 (V. 30.) önkormányzati rendelethez  </t>
  </si>
  <si>
    <t>8. melléklet a 7/2019. (V. 30.) önkormányzati rendelethez</t>
  </si>
  <si>
    <t>9. melléklet a 7/2019. (V. 30.) önkormányzati rendelethez</t>
  </si>
  <si>
    <t>10. melléklet a 7/2019. (V. 30.) önkormányzati rendelethez</t>
  </si>
  <si>
    <t>11. melléklet a 7/2019. (V. 30.) önkormányzati rendelethez</t>
  </si>
  <si>
    <t>12. melléklet a 7/2019 (V. 30.) önkormányzati rendelethez</t>
  </si>
  <si>
    <t>13. melléklet a 7/2018. (V. 30.) önkormányzati rendelethez</t>
  </si>
  <si>
    <t>14. melléklet a 7/2019. (V. 30.) önkormányzati rendelethez</t>
  </si>
  <si>
    <t>15. melléklet a 7/2019. (V. 30.) önkormányzati rendelethez</t>
  </si>
  <si>
    <t>16. melléklet a 7/2019. (V. 30) önkormányzati rendelethez</t>
  </si>
  <si>
    <t>17.  melléklet a 7/2019. (V. 30.) önkormányzati rendelethez</t>
  </si>
  <si>
    <t>18. melléklet a 7/2019. (V. 30.) önkormányzati rendelethez</t>
  </si>
  <si>
    <t>19. melléklet a 7/2019. (V. 30.) önkormányzati rendelethez</t>
  </si>
  <si>
    <t>20. melléklet a 7/2019. (V. 30.) önkormányzati rendelethez</t>
  </si>
  <si>
    <t>21. melléklet a 7/2019. (V. 30.) önkormányzati rendelethez</t>
  </si>
  <si>
    <t>22. melléklet a 7/2019. (V. 30.) önkormányzati rendelethez</t>
  </si>
  <si>
    <t>23. melléklet a 7/2019. (V. 30.) önkormányzati rendelethez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</si>
</sst>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0.0%"/>
    <numFmt numFmtId="167" formatCode="_-* #,##0.00\ _F_t_-;\-* #,##0.00\ _F_t_-;_-* \-??\ _F_t_-;_-@_-"/>
    <numFmt numFmtId="168" formatCode="_-* #,##0\ _F_t_-;\-* #,##0\ _F_t_-;_-* \-??\ _F_t_-;_-@_-"/>
  </numFmts>
  <fonts count="51">
    <font>
      <sz val="10"/>
      <name val="Arial"/>
      <family val="2"/>
    </font>
    <font>
      <sz val="10"/>
      <name val="Arial CE"/>
      <family val="0"/>
    </font>
    <font>
      <sz val="12"/>
      <name val="Times New Roman"/>
      <family val="1"/>
    </font>
    <font>
      <sz val="12"/>
      <color indexed="6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2"/>
      <color indexed="10"/>
      <name val="Times New Roman"/>
      <family val="1"/>
    </font>
    <font>
      <sz val="10"/>
      <color indexed="62"/>
      <name val="Arial"/>
      <family val="2"/>
    </font>
    <font>
      <sz val="10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2"/>
      <color indexed="20"/>
      <name val="Arial"/>
      <family val="2"/>
    </font>
    <font>
      <b/>
      <sz val="12"/>
      <color indexed="2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167" fontId="0" fillId="0" borderId="0" applyFill="0" applyBorder="0" applyAlignment="0" applyProtection="0"/>
    <xf numFmtId="164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ill="0" applyBorder="0" applyAlignment="0" applyProtection="0"/>
  </cellStyleXfs>
  <cellXfs count="50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3" fontId="4" fillId="33" borderId="10" xfId="59" applyNumberFormat="1" applyFont="1" applyFill="1" applyBorder="1" applyAlignment="1">
      <alignment horizontal="center" vertical="center" wrapText="1"/>
      <protection/>
    </xf>
    <xf numFmtId="3" fontId="5" fillId="33" borderId="10" xfId="59" applyNumberFormat="1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/>
    </xf>
    <xf numFmtId="3" fontId="4" fillId="0" borderId="11" xfId="0" applyNumberFormat="1" applyFont="1" applyBorder="1" applyAlignment="1">
      <alignment/>
    </xf>
    <xf numFmtId="10" fontId="4" fillId="0" borderId="11" xfId="66" applyNumberFormat="1" applyFont="1" applyFill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3" fontId="2" fillId="0" borderId="11" xfId="0" applyNumberFormat="1" applyFont="1" applyBorder="1" applyAlignment="1">
      <alignment/>
    </xf>
    <xf numFmtId="10" fontId="2" fillId="0" borderId="11" xfId="66" applyNumberFormat="1" applyFont="1" applyFill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Border="1" applyAlignment="1">
      <alignment horizontal="left"/>
    </xf>
    <xf numFmtId="0" fontId="4" fillId="33" borderId="12" xfId="0" applyFont="1" applyFill="1" applyBorder="1" applyAlignment="1">
      <alignment/>
    </xf>
    <xf numFmtId="3" fontId="4" fillId="33" borderId="13" xfId="0" applyNumberFormat="1" applyFont="1" applyFill="1" applyBorder="1" applyAlignment="1">
      <alignment/>
    </xf>
    <xf numFmtId="10" fontId="4" fillId="33" borderId="11" xfId="66" applyNumberFormat="1" applyFont="1" applyFill="1" applyBorder="1" applyAlignment="1" applyProtection="1">
      <alignment/>
      <protection/>
    </xf>
    <xf numFmtId="0" fontId="2" fillId="0" borderId="12" xfId="0" applyFont="1" applyBorder="1" applyAlignment="1">
      <alignment/>
    </xf>
    <xf numFmtId="0" fontId="4" fillId="0" borderId="14" xfId="0" applyFont="1" applyFill="1" applyBorder="1" applyAlignment="1">
      <alignment/>
    </xf>
    <xf numFmtId="3" fontId="4" fillId="0" borderId="15" xfId="0" applyNumberFormat="1" applyFont="1" applyBorder="1" applyAlignment="1">
      <alignment/>
    </xf>
    <xf numFmtId="10" fontId="4" fillId="0" borderId="15" xfId="66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justify"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justify"/>
    </xf>
    <xf numFmtId="0" fontId="6" fillId="33" borderId="12" xfId="0" applyFont="1" applyFill="1" applyBorder="1" applyAlignment="1">
      <alignment/>
    </xf>
    <xf numFmtId="0" fontId="4" fillId="33" borderId="12" xfId="0" applyFont="1" applyFill="1" applyBorder="1" applyAlignment="1">
      <alignment horizontal="justify"/>
    </xf>
    <xf numFmtId="10" fontId="4" fillId="33" borderId="16" xfId="66" applyNumberFormat="1" applyFont="1" applyFill="1" applyBorder="1" applyAlignment="1" applyProtection="1">
      <alignment/>
      <protection/>
    </xf>
    <xf numFmtId="3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0" fontId="2" fillId="0" borderId="0" xfId="59" applyFont="1" applyFill="1" applyBorder="1" applyAlignment="1">
      <alignment horizontal="right"/>
      <protection/>
    </xf>
    <xf numFmtId="0" fontId="0" fillId="0" borderId="0" xfId="59" applyFont="1" applyFill="1">
      <alignment/>
      <protection/>
    </xf>
    <xf numFmtId="0" fontId="2" fillId="0" borderId="0" xfId="59" applyFont="1" applyFill="1">
      <alignment/>
      <protection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0" xfId="59" applyNumberFormat="1" applyFont="1" applyBorder="1" applyAlignment="1">
      <alignment horizontal="center" vertical="center" wrapText="1"/>
      <protection/>
    </xf>
    <xf numFmtId="3" fontId="5" fillId="0" borderId="10" xfId="59" applyNumberFormat="1" applyFont="1" applyBorder="1" applyAlignment="1">
      <alignment horizontal="center" vertical="center" wrapText="1"/>
      <protection/>
    </xf>
    <xf numFmtId="0" fontId="4" fillId="34" borderId="0" xfId="0" applyFont="1" applyFill="1" applyBorder="1" applyAlignment="1">
      <alignment horizontal="left"/>
    </xf>
    <xf numFmtId="3" fontId="4" fillId="34" borderId="0" xfId="0" applyNumberFormat="1" applyFont="1" applyFill="1" applyBorder="1" applyAlignment="1">
      <alignment horizontal="right" wrapText="1"/>
    </xf>
    <xf numFmtId="10" fontId="4" fillId="34" borderId="0" xfId="66" applyNumberFormat="1" applyFont="1" applyFill="1" applyBorder="1" applyAlignment="1" applyProtection="1">
      <alignment horizontal="right" wrapText="1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10" fontId="2" fillId="0" borderId="0" xfId="66" applyNumberFormat="1" applyFont="1" applyFill="1" applyBorder="1" applyAlignment="1" applyProtection="1">
      <alignment horizontal="right"/>
      <protection/>
    </xf>
    <xf numFmtId="0" fontId="4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 horizontal="left"/>
    </xf>
    <xf numFmtId="3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" fontId="4" fillId="34" borderId="0" xfId="0" applyNumberFormat="1" applyFont="1" applyFill="1" applyAlignment="1">
      <alignment horizontal="right"/>
    </xf>
    <xf numFmtId="10" fontId="4" fillId="34" borderId="0" xfId="66" applyNumberFormat="1" applyFont="1" applyFill="1" applyBorder="1" applyAlignment="1" applyProtection="1">
      <alignment horizontal="right"/>
      <protection/>
    </xf>
    <xf numFmtId="0" fontId="2" fillId="0" borderId="0" xfId="0" applyFont="1" applyFill="1" applyAlignment="1">
      <alignment/>
    </xf>
    <xf numFmtId="166" fontId="2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right"/>
    </xf>
    <xf numFmtId="166" fontId="4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/>
    </xf>
    <xf numFmtId="0" fontId="4" fillId="34" borderId="0" xfId="0" applyFont="1" applyFill="1" applyAlignment="1">
      <alignment/>
    </xf>
    <xf numFmtId="3" fontId="4" fillId="34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3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 wrapText="1"/>
    </xf>
    <xf numFmtId="3" fontId="4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Alignment="1">
      <alignment wrapText="1"/>
    </xf>
    <xf numFmtId="3" fontId="2" fillId="0" borderId="0" xfId="0" applyNumberFormat="1" applyFont="1" applyFill="1" applyAlignment="1">
      <alignment horizontal="left" wrapText="1"/>
    </xf>
    <xf numFmtId="3" fontId="2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3" fontId="4" fillId="34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0" fontId="4" fillId="34" borderId="0" xfId="0" applyFont="1" applyFill="1" applyAlignment="1">
      <alignment horizontal="left"/>
    </xf>
    <xf numFmtId="0" fontId="4" fillId="0" borderId="17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2" fillId="0" borderId="18" xfId="0" applyNumberFormat="1" applyFont="1" applyFill="1" applyBorder="1" applyAlignment="1">
      <alignment/>
    </xf>
    <xf numFmtId="10" fontId="2" fillId="0" borderId="18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0" fontId="4" fillId="34" borderId="19" xfId="0" applyFont="1" applyFill="1" applyBorder="1" applyAlignment="1">
      <alignment/>
    </xf>
    <xf numFmtId="0" fontId="4" fillId="34" borderId="20" xfId="0" applyFont="1" applyFill="1" applyBorder="1" applyAlignment="1">
      <alignment/>
    </xf>
    <xf numFmtId="3" fontId="4" fillId="34" borderId="20" xfId="0" applyNumberFormat="1" applyFont="1" applyFill="1" applyBorder="1" applyAlignment="1">
      <alignment/>
    </xf>
    <xf numFmtId="10" fontId="4" fillId="34" borderId="21" xfId="0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3" fontId="4" fillId="0" borderId="22" xfId="0" applyNumberFormat="1" applyFont="1" applyFill="1" applyBorder="1" applyAlignment="1">
      <alignment/>
    </xf>
    <xf numFmtId="10" fontId="4" fillId="0" borderId="22" xfId="66" applyNumberFormat="1" applyFont="1" applyFill="1" applyBorder="1" applyAlignment="1" applyProtection="1">
      <alignment horizontal="right"/>
      <protection/>
    </xf>
    <xf numFmtId="10" fontId="2" fillId="0" borderId="18" xfId="66" applyNumberFormat="1" applyFont="1" applyFill="1" applyBorder="1" applyAlignment="1" applyProtection="1">
      <alignment horizontal="right"/>
      <protection/>
    </xf>
    <xf numFmtId="3" fontId="2" fillId="0" borderId="18" xfId="0" applyNumberFormat="1" applyFont="1" applyFill="1" applyBorder="1" applyAlignment="1">
      <alignment horizontal="center"/>
    </xf>
    <xf numFmtId="3" fontId="2" fillId="0" borderId="18" xfId="0" applyNumberFormat="1" applyFont="1" applyFill="1" applyBorder="1" applyAlignment="1">
      <alignment horizontal="left"/>
    </xf>
    <xf numFmtId="3" fontId="2" fillId="0" borderId="18" xfId="0" applyNumberFormat="1" applyFont="1" applyFill="1" applyBorder="1" applyAlignment="1">
      <alignment horizontal="left" wrapText="1"/>
    </xf>
    <xf numFmtId="3" fontId="2" fillId="0" borderId="18" xfId="0" applyNumberFormat="1" applyFont="1" applyFill="1" applyBorder="1" applyAlignment="1">
      <alignment horizontal="center" wrapText="1"/>
    </xf>
    <xf numFmtId="3" fontId="4" fillId="0" borderId="18" xfId="0" applyNumberFormat="1" applyFont="1" applyFill="1" applyBorder="1" applyAlignment="1">
      <alignment/>
    </xf>
    <xf numFmtId="10" fontId="4" fillId="0" borderId="18" xfId="66" applyNumberFormat="1" applyFont="1" applyFill="1" applyBorder="1" applyAlignment="1" applyProtection="1">
      <alignment horizontal="right"/>
      <protection/>
    </xf>
    <xf numFmtId="3" fontId="2" fillId="0" borderId="18" xfId="0" applyNumberFormat="1" applyFont="1" applyFill="1" applyBorder="1" applyAlignment="1">
      <alignment horizontal="right"/>
    </xf>
    <xf numFmtId="3" fontId="4" fillId="0" borderId="18" xfId="0" applyNumberFormat="1" applyFont="1" applyFill="1" applyBorder="1" applyAlignment="1">
      <alignment horizontal="right"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3" fontId="4" fillId="0" borderId="20" xfId="0" applyNumberFormat="1" applyFont="1" applyFill="1" applyBorder="1" applyAlignment="1">
      <alignment/>
    </xf>
    <xf numFmtId="10" fontId="4" fillId="0" borderId="23" xfId="66" applyNumberFormat="1" applyFont="1" applyFill="1" applyBorder="1" applyAlignment="1" applyProtection="1">
      <alignment horizontal="right"/>
      <protection/>
    </xf>
    <xf numFmtId="0" fontId="8" fillId="0" borderId="0" xfId="0" applyFont="1" applyFill="1" applyAlignment="1">
      <alignment/>
    </xf>
    <xf numFmtId="0" fontId="0" fillId="0" borderId="0" xfId="57" applyFont="1">
      <alignment/>
      <protection/>
    </xf>
    <xf numFmtId="0" fontId="0" fillId="0" borderId="0" xfId="57" applyFont="1">
      <alignment/>
      <protection/>
    </xf>
    <xf numFmtId="0" fontId="3" fillId="0" borderId="0" xfId="57" applyFont="1" applyBorder="1" applyAlignment="1">
      <alignment horizontal="center"/>
      <protection/>
    </xf>
    <xf numFmtId="0" fontId="8" fillId="0" borderId="0" xfId="57" applyFont="1">
      <alignment/>
      <protection/>
    </xf>
    <xf numFmtId="0" fontId="4" fillId="0" borderId="10" xfId="57" applyFont="1" applyBorder="1" applyAlignment="1">
      <alignment horizontal="center" vertical="center"/>
      <protection/>
    </xf>
    <xf numFmtId="0" fontId="4" fillId="0" borderId="10" xfId="57" applyFont="1" applyBorder="1" applyAlignment="1">
      <alignment horizontal="center" vertical="center" wrapText="1"/>
      <protection/>
    </xf>
    <xf numFmtId="0" fontId="4" fillId="0" borderId="0" xfId="57" applyFont="1" applyFill="1" applyAlignment="1">
      <alignment horizontal="left"/>
      <protection/>
    </xf>
    <xf numFmtId="0" fontId="2" fillId="0" borderId="22" xfId="57" applyFont="1" applyFill="1" applyBorder="1" applyAlignment="1">
      <alignment horizontal="right"/>
      <protection/>
    </xf>
    <xf numFmtId="3" fontId="2" fillId="0" borderId="22" xfId="57" applyNumberFormat="1" applyFont="1" applyBorder="1">
      <alignment/>
      <protection/>
    </xf>
    <xf numFmtId="49" fontId="4" fillId="0" borderId="0" xfId="57" applyNumberFormat="1" applyFont="1" applyAlignment="1">
      <alignment horizontal="left"/>
      <protection/>
    </xf>
    <xf numFmtId="3" fontId="2" fillId="0" borderId="18" xfId="57" applyNumberFormat="1" applyFont="1" applyBorder="1">
      <alignment/>
      <protection/>
    </xf>
    <xf numFmtId="0" fontId="4" fillId="0" borderId="0" xfId="57" applyFont="1" applyAlignment="1">
      <alignment horizontal="left"/>
      <protection/>
    </xf>
    <xf numFmtId="0" fontId="4" fillId="0" borderId="0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3" fontId="2" fillId="0" borderId="18" xfId="0" applyNumberFormat="1" applyFont="1" applyFill="1" applyBorder="1" applyAlignment="1">
      <alignment wrapText="1"/>
    </xf>
    <xf numFmtId="0" fontId="9" fillId="0" borderId="0" xfId="57" applyFont="1">
      <alignment/>
      <protection/>
    </xf>
    <xf numFmtId="3" fontId="2" fillId="0" borderId="16" xfId="0" applyNumberFormat="1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3" fontId="2" fillId="0" borderId="16" xfId="57" applyNumberFormat="1" applyFont="1" applyBorder="1">
      <alignment/>
      <protection/>
    </xf>
    <xf numFmtId="0" fontId="4" fillId="0" borderId="19" xfId="57" applyFont="1" applyFill="1" applyBorder="1" applyAlignment="1">
      <alignment horizontal="left"/>
      <protection/>
    </xf>
    <xf numFmtId="3" fontId="4" fillId="0" borderId="20" xfId="57" applyNumberFormat="1" applyFont="1" applyBorder="1">
      <alignment/>
      <protection/>
    </xf>
    <xf numFmtId="3" fontId="4" fillId="0" borderId="21" xfId="57" applyNumberFormat="1" applyFont="1" applyBorder="1">
      <alignment/>
      <protection/>
    </xf>
    <xf numFmtId="3" fontId="0" fillId="0" borderId="0" xfId="57" applyNumberFormat="1" applyFont="1">
      <alignment/>
      <protection/>
    </xf>
    <xf numFmtId="0" fontId="2" fillId="0" borderId="0" xfId="59" applyFont="1" applyBorder="1" applyAlignment="1">
      <alignment horizontal="right"/>
      <protection/>
    </xf>
    <xf numFmtId="0" fontId="0" fillId="0" borderId="0" xfId="59" applyFont="1">
      <alignment/>
      <protection/>
    </xf>
    <xf numFmtId="0" fontId="4" fillId="0" borderId="0" xfId="0" applyFont="1" applyFill="1" applyBorder="1" applyAlignment="1">
      <alignment horizontal="center" vertical="center" wrapText="1"/>
    </xf>
    <xf numFmtId="49" fontId="4" fillId="34" borderId="11" xfId="0" applyNumberFormat="1" applyFont="1" applyFill="1" applyBorder="1" applyAlignment="1">
      <alignment horizontal="right"/>
    </xf>
    <xf numFmtId="3" fontId="4" fillId="34" borderId="15" xfId="0" applyNumberFormat="1" applyFont="1" applyFill="1" applyBorder="1" applyAlignment="1">
      <alignment horizontal="right"/>
    </xf>
    <xf numFmtId="10" fontId="4" fillId="34" borderId="15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 horizontal="right"/>
    </xf>
    <xf numFmtId="10" fontId="4" fillId="0" borderId="11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left"/>
    </xf>
    <xf numFmtId="3" fontId="2" fillId="0" borderId="11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/>
    </xf>
    <xf numFmtId="3" fontId="2" fillId="0" borderId="11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0" fontId="2" fillId="0" borderId="11" xfId="0" applyFont="1" applyFill="1" applyBorder="1" applyAlignment="1">
      <alignment wrapText="1"/>
    </xf>
    <xf numFmtId="3" fontId="2" fillId="0" borderId="11" xfId="0" applyNumberFormat="1" applyFont="1" applyFill="1" applyBorder="1" applyAlignment="1">
      <alignment horizontal="left" wrapText="1"/>
    </xf>
    <xf numFmtId="3" fontId="2" fillId="0" borderId="0" xfId="0" applyNumberFormat="1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left"/>
    </xf>
    <xf numFmtId="0" fontId="4" fillId="34" borderId="11" xfId="0" applyFont="1" applyFill="1" applyBorder="1" applyAlignment="1">
      <alignment horizontal="left"/>
    </xf>
    <xf numFmtId="3" fontId="4" fillId="34" borderId="11" xfId="0" applyNumberFormat="1" applyFont="1" applyFill="1" applyBorder="1" applyAlignment="1">
      <alignment horizontal="right"/>
    </xf>
    <xf numFmtId="10" fontId="4" fillId="34" borderId="11" xfId="0" applyNumberFormat="1" applyFont="1" applyFill="1" applyBorder="1" applyAlignment="1">
      <alignment horizontal="right"/>
    </xf>
    <xf numFmtId="10" fontId="2" fillId="0" borderId="11" xfId="0" applyNumberFormat="1" applyFont="1" applyFill="1" applyBorder="1" applyAlignment="1">
      <alignment horizontal="right"/>
    </xf>
    <xf numFmtId="0" fontId="4" fillId="34" borderId="11" xfId="0" applyFont="1" applyFill="1" applyBorder="1" applyAlignment="1">
      <alignment wrapText="1"/>
    </xf>
    <xf numFmtId="49" fontId="4" fillId="34" borderId="11" xfId="0" applyNumberFormat="1" applyFont="1" applyFill="1" applyBorder="1" applyAlignment="1">
      <alignment horizontal="left"/>
    </xf>
    <xf numFmtId="3" fontId="11" fillId="0" borderId="0" xfId="0" applyNumberFormat="1" applyFont="1" applyFill="1" applyBorder="1" applyAlignment="1">
      <alignment horizontal="right"/>
    </xf>
    <xf numFmtId="49" fontId="4" fillId="0" borderId="11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vertical="center"/>
    </xf>
    <xf numFmtId="3" fontId="4" fillId="0" borderId="18" xfId="0" applyNumberFormat="1" applyFont="1" applyFill="1" applyBorder="1" applyAlignment="1">
      <alignment horizontal="left"/>
    </xf>
    <xf numFmtId="10" fontId="2" fillId="0" borderId="11" xfId="0" applyNumberFormat="1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/>
    </xf>
    <xf numFmtId="10" fontId="4" fillId="34" borderId="11" xfId="0" applyNumberFormat="1" applyFont="1" applyFill="1" applyBorder="1" applyAlignment="1">
      <alignment/>
    </xf>
    <xf numFmtId="0" fontId="4" fillId="0" borderId="0" xfId="0" applyFont="1" applyAlignment="1">
      <alignment/>
    </xf>
    <xf numFmtId="10" fontId="4" fillId="0" borderId="11" xfId="0" applyNumberFormat="1" applyFont="1" applyFill="1" applyBorder="1" applyAlignment="1">
      <alignment/>
    </xf>
    <xf numFmtId="10" fontId="2" fillId="0" borderId="11" xfId="0" applyNumberFormat="1" applyFont="1" applyFill="1" applyBorder="1" applyAlignment="1">
      <alignment horizontal="left" wrapText="1"/>
    </xf>
    <xf numFmtId="3" fontId="4" fillId="34" borderId="11" xfId="0" applyNumberFormat="1" applyFont="1" applyFill="1" applyBorder="1" applyAlignment="1">
      <alignment horizontal="right" wrapText="1"/>
    </xf>
    <xf numFmtId="10" fontId="4" fillId="34" borderId="11" xfId="0" applyNumberFormat="1" applyFont="1" applyFill="1" applyBorder="1" applyAlignment="1">
      <alignment horizontal="right" wrapText="1"/>
    </xf>
    <xf numFmtId="3" fontId="4" fillId="0" borderId="0" xfId="0" applyNumberFormat="1" applyFont="1" applyFill="1" applyBorder="1" applyAlignment="1">
      <alignment horizontal="right" wrapText="1"/>
    </xf>
    <xf numFmtId="10" fontId="2" fillId="0" borderId="11" xfId="0" applyNumberFormat="1" applyFont="1" applyFill="1" applyBorder="1" applyAlignment="1">
      <alignment/>
    </xf>
    <xf numFmtId="2" fontId="4" fillId="34" borderId="11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horizontal="left"/>
    </xf>
    <xf numFmtId="0" fontId="4" fillId="34" borderId="0" xfId="0" applyFont="1" applyFill="1" applyBorder="1" applyAlignment="1">
      <alignment/>
    </xf>
    <xf numFmtId="10" fontId="4" fillId="0" borderId="18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10" fontId="2" fillId="0" borderId="18" xfId="0" applyNumberFormat="1" applyFont="1" applyFill="1" applyBorder="1" applyAlignment="1">
      <alignment horizontal="right"/>
    </xf>
    <xf numFmtId="3" fontId="2" fillId="0" borderId="24" xfId="0" applyNumberFormat="1" applyFont="1" applyFill="1" applyBorder="1" applyAlignment="1">
      <alignment horizontal="left"/>
    </xf>
    <xf numFmtId="0" fontId="4" fillId="34" borderId="11" xfId="0" applyFont="1" applyFill="1" applyBorder="1" applyAlignment="1">
      <alignment horizontal="right"/>
    </xf>
    <xf numFmtId="10" fontId="2" fillId="0" borderId="0" xfId="0" applyNumberFormat="1" applyFont="1" applyFill="1" applyAlignment="1">
      <alignment horizontal="right"/>
    </xf>
    <xf numFmtId="0" fontId="4" fillId="34" borderId="20" xfId="0" applyFont="1" applyFill="1" applyBorder="1" applyAlignment="1">
      <alignment horizontal="left"/>
    </xf>
    <xf numFmtId="3" fontId="4" fillId="34" borderId="20" xfId="0" applyNumberFormat="1" applyFont="1" applyFill="1" applyBorder="1" applyAlignment="1">
      <alignment horizontal="left"/>
    </xf>
    <xf numFmtId="3" fontId="4" fillId="34" borderId="20" xfId="0" applyNumberFormat="1" applyFont="1" applyFill="1" applyBorder="1" applyAlignment="1">
      <alignment horizontal="right"/>
    </xf>
    <xf numFmtId="166" fontId="4" fillId="34" borderId="21" xfId="66" applyNumberFormat="1" applyFont="1" applyFill="1" applyBorder="1" applyAlignment="1" applyProtection="1">
      <alignment horizontal="right"/>
      <protection/>
    </xf>
    <xf numFmtId="3" fontId="4" fillId="0" borderId="0" xfId="0" applyNumberFormat="1" applyFont="1" applyFill="1" applyAlignment="1">
      <alignment horizontal="left"/>
    </xf>
    <xf numFmtId="168" fontId="2" fillId="0" borderId="0" xfId="0" applyNumberFormat="1" applyFont="1" applyFill="1" applyAlignment="1">
      <alignment horizontal="left"/>
    </xf>
    <xf numFmtId="0" fontId="4" fillId="0" borderId="10" xfId="57" applyFont="1" applyBorder="1" applyAlignment="1">
      <alignment vertical="center"/>
      <protection/>
    </xf>
    <xf numFmtId="3" fontId="2" fillId="0" borderId="0" xfId="57" applyNumberFormat="1" applyFont="1" applyFill="1">
      <alignment/>
      <protection/>
    </xf>
    <xf numFmtId="3" fontId="2" fillId="0" borderId="0" xfId="57" applyNumberFormat="1" applyFont="1">
      <alignment/>
      <protection/>
    </xf>
    <xf numFmtId="0" fontId="4" fillId="0" borderId="11" xfId="0" applyFont="1" applyFill="1" applyBorder="1" applyAlignment="1">
      <alignment wrapText="1"/>
    </xf>
    <xf numFmtId="3" fontId="4" fillId="0" borderId="11" xfId="0" applyNumberFormat="1" applyFont="1" applyFill="1" applyBorder="1" applyAlignment="1">
      <alignment horizontal="right" wrapText="1"/>
    </xf>
    <xf numFmtId="3" fontId="2" fillId="0" borderId="0" xfId="57" applyNumberFormat="1" applyFont="1" applyBorder="1">
      <alignment/>
      <protection/>
    </xf>
    <xf numFmtId="3" fontId="2" fillId="0" borderId="0" xfId="57" applyNumberFormat="1" applyFont="1" applyFill="1" applyBorder="1">
      <alignment/>
      <protection/>
    </xf>
    <xf numFmtId="168" fontId="6" fillId="0" borderId="0" xfId="57" applyNumberFormat="1" applyFont="1">
      <alignment/>
      <protection/>
    </xf>
    <xf numFmtId="0" fontId="2" fillId="0" borderId="0" xfId="55" applyFont="1">
      <alignment/>
      <protection/>
    </xf>
    <xf numFmtId="0" fontId="2" fillId="0" borderId="0" xfId="55" applyFont="1" applyAlignment="1">
      <alignment horizontal="center"/>
      <protection/>
    </xf>
    <xf numFmtId="0" fontId="4" fillId="0" borderId="10" xfId="55" applyFont="1" applyBorder="1" applyAlignment="1">
      <alignment horizontal="center" vertical="center" wrapText="1"/>
      <protection/>
    </xf>
    <xf numFmtId="0" fontId="2" fillId="0" borderId="22" xfId="55" applyFont="1" applyBorder="1">
      <alignment/>
      <protection/>
    </xf>
    <xf numFmtId="0" fontId="2" fillId="0" borderId="22" xfId="57" applyFont="1" applyBorder="1" applyAlignment="1">
      <alignment horizontal="left"/>
      <protection/>
    </xf>
    <xf numFmtId="10" fontId="2" fillId="0" borderId="18" xfId="55" applyNumberFormat="1" applyFont="1" applyBorder="1" applyAlignment="1">
      <alignment horizontal="right" vertical="center" wrapText="1"/>
      <protection/>
    </xf>
    <xf numFmtId="0" fontId="2" fillId="0" borderId="18" xfId="55" applyFont="1" applyBorder="1">
      <alignment/>
      <protection/>
    </xf>
    <xf numFmtId="0" fontId="2" fillId="0" borderId="18" xfId="57" applyFont="1" applyBorder="1" applyAlignment="1">
      <alignment horizontal="left"/>
      <protection/>
    </xf>
    <xf numFmtId="0" fontId="2" fillId="0" borderId="0" xfId="57" applyFont="1">
      <alignment/>
      <protection/>
    </xf>
    <xf numFmtId="3" fontId="2" fillId="0" borderId="18" xfId="55" applyNumberFormat="1" applyFont="1" applyBorder="1" applyAlignment="1">
      <alignment horizontal="right" vertical="center" wrapText="1"/>
      <protection/>
    </xf>
    <xf numFmtId="0" fontId="2" fillId="0" borderId="18" xfId="55" applyFont="1" applyBorder="1" applyAlignment="1">
      <alignment vertical="center" wrapText="1"/>
      <protection/>
    </xf>
    <xf numFmtId="0" fontId="2" fillId="0" borderId="25" xfId="55" applyFont="1" applyBorder="1">
      <alignment/>
      <protection/>
    </xf>
    <xf numFmtId="0" fontId="4" fillId="0" borderId="26" xfId="55" applyFont="1" applyBorder="1" applyAlignment="1">
      <alignment wrapText="1"/>
      <protection/>
    </xf>
    <xf numFmtId="3" fontId="4" fillId="0" borderId="26" xfId="55" applyNumberFormat="1" applyFont="1" applyBorder="1" applyAlignment="1">
      <alignment vertical="center"/>
      <protection/>
    </xf>
    <xf numFmtId="10" fontId="4" fillId="0" borderId="23" xfId="55" applyNumberFormat="1" applyFont="1" applyBorder="1" applyAlignment="1">
      <alignment vertical="center"/>
      <protection/>
    </xf>
    <xf numFmtId="0" fontId="4" fillId="0" borderId="22" xfId="55" applyFont="1" applyBorder="1" applyAlignment="1">
      <alignment wrapText="1"/>
      <protection/>
    </xf>
    <xf numFmtId="10" fontId="2" fillId="0" borderId="22" xfId="55" applyNumberFormat="1" applyFont="1" applyBorder="1">
      <alignment/>
      <protection/>
    </xf>
    <xf numFmtId="10" fontId="2" fillId="0" borderId="18" xfId="57" applyNumberFormat="1" applyFont="1" applyBorder="1">
      <alignment/>
      <protection/>
    </xf>
    <xf numFmtId="0" fontId="2" fillId="0" borderId="18" xfId="57" applyFont="1" applyBorder="1" applyAlignment="1">
      <alignment horizontal="justify"/>
      <protection/>
    </xf>
    <xf numFmtId="3" fontId="4" fillId="0" borderId="26" xfId="55" applyNumberFormat="1" applyFont="1" applyBorder="1" applyAlignment="1">
      <alignment horizontal="right" wrapText="1"/>
      <protection/>
    </xf>
    <xf numFmtId="10" fontId="4" fillId="0" borderId="23" xfId="57" applyNumberFormat="1" applyFont="1" applyBorder="1">
      <alignment/>
      <protection/>
    </xf>
    <xf numFmtId="0" fontId="2" fillId="0" borderId="0" xfId="57" applyFont="1" applyBorder="1">
      <alignment/>
      <protection/>
    </xf>
    <xf numFmtId="0" fontId="2" fillId="0" borderId="0" xfId="57" applyFont="1" applyBorder="1" applyAlignment="1">
      <alignment horizontal="left"/>
      <protection/>
    </xf>
    <xf numFmtId="3" fontId="2" fillId="0" borderId="24" xfId="55" applyNumberFormat="1" applyFont="1" applyBorder="1" applyAlignment="1">
      <alignment horizontal="right" vertical="center" wrapText="1"/>
      <protection/>
    </xf>
    <xf numFmtId="3" fontId="2" fillId="0" borderId="0" xfId="55" applyNumberFormat="1" applyFont="1">
      <alignment/>
      <protection/>
    </xf>
    <xf numFmtId="10" fontId="2" fillId="0" borderId="0" xfId="66" applyNumberFormat="1" applyFont="1" applyFill="1" applyBorder="1" applyAlignment="1" applyProtection="1">
      <alignment/>
      <protection/>
    </xf>
    <xf numFmtId="3" fontId="2" fillId="0" borderId="0" xfId="55" applyNumberFormat="1" applyFont="1" applyBorder="1" applyAlignment="1">
      <alignment horizontal="right" vertical="center" wrapText="1"/>
      <protection/>
    </xf>
    <xf numFmtId="0" fontId="2" fillId="0" borderId="12" xfId="55" applyFont="1" applyBorder="1">
      <alignment/>
      <protection/>
    </xf>
    <xf numFmtId="0" fontId="4" fillId="0" borderId="12" xfId="55" applyFont="1" applyBorder="1" applyAlignment="1">
      <alignment wrapText="1"/>
      <protection/>
    </xf>
    <xf numFmtId="3" fontId="4" fillId="0" borderId="12" xfId="55" applyNumberFormat="1" applyFont="1" applyBorder="1" applyAlignment="1">
      <alignment horizontal="right" vertical="center" wrapText="1"/>
      <protection/>
    </xf>
    <xf numFmtId="10" fontId="4" fillId="0" borderId="12" xfId="66" applyNumberFormat="1" applyFont="1" applyFill="1" applyBorder="1" applyAlignment="1" applyProtection="1">
      <alignment horizontal="right" vertical="center" wrapText="1"/>
      <protection/>
    </xf>
    <xf numFmtId="0" fontId="4" fillId="0" borderId="0" xfId="55" applyFont="1" applyBorder="1" applyAlignment="1">
      <alignment wrapText="1"/>
      <protection/>
    </xf>
    <xf numFmtId="3" fontId="4" fillId="0" borderId="0" xfId="55" applyNumberFormat="1" applyFont="1" applyBorder="1" applyAlignment="1">
      <alignment horizontal="right" vertical="center" wrapText="1"/>
      <protection/>
    </xf>
    <xf numFmtId="0" fontId="2" fillId="0" borderId="0" xfId="57" applyFont="1" applyBorder="1" applyAlignment="1">
      <alignment horizontal="justify"/>
      <protection/>
    </xf>
    <xf numFmtId="3" fontId="4" fillId="0" borderId="12" xfId="55" applyNumberFormat="1" applyFont="1" applyBorder="1" applyAlignment="1">
      <alignment horizontal="right" wrapText="1"/>
      <protection/>
    </xf>
    <xf numFmtId="10" fontId="4" fillId="0" borderId="0" xfId="66" applyNumberFormat="1" applyFont="1" applyFill="1" applyBorder="1" applyAlignment="1" applyProtection="1">
      <alignment/>
      <protection/>
    </xf>
    <xf numFmtId="0" fontId="2" fillId="0" borderId="20" xfId="55" applyFont="1" applyBorder="1">
      <alignment/>
      <protection/>
    </xf>
    <xf numFmtId="0" fontId="4" fillId="0" borderId="20" xfId="55" applyFont="1" applyBorder="1" applyAlignment="1">
      <alignment wrapText="1"/>
      <protection/>
    </xf>
    <xf numFmtId="3" fontId="4" fillId="0" borderId="20" xfId="55" applyNumberFormat="1" applyFont="1" applyBorder="1" applyAlignment="1">
      <alignment wrapText="1"/>
      <protection/>
    </xf>
    <xf numFmtId="10" fontId="4" fillId="0" borderId="20" xfId="66" applyNumberFormat="1" applyFont="1" applyFill="1" applyBorder="1" applyAlignment="1" applyProtection="1">
      <alignment wrapText="1"/>
      <protection/>
    </xf>
    <xf numFmtId="0" fontId="2" fillId="0" borderId="0" xfId="55" applyFont="1" applyBorder="1">
      <alignment/>
      <protection/>
    </xf>
    <xf numFmtId="0" fontId="13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/>
    </xf>
    <xf numFmtId="168" fontId="2" fillId="0" borderId="10" xfId="40" applyNumberFormat="1" applyFont="1" applyFill="1" applyBorder="1" applyAlignment="1" applyProtection="1">
      <alignment/>
      <protection/>
    </xf>
    <xf numFmtId="10" fontId="2" fillId="0" borderId="10" xfId="66" applyNumberFormat="1" applyFont="1" applyFill="1" applyBorder="1" applyAlignment="1" applyProtection="1">
      <alignment/>
      <protection/>
    </xf>
    <xf numFmtId="168" fontId="2" fillId="0" borderId="10" xfId="40" applyNumberFormat="1" applyFont="1" applyFill="1" applyBorder="1" applyAlignment="1" applyProtection="1">
      <alignment horizontal="right"/>
      <protection/>
    </xf>
    <xf numFmtId="3" fontId="4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center"/>
    </xf>
    <xf numFmtId="10" fontId="0" fillId="0" borderId="0" xfId="66" applyNumberFormat="1" applyFill="1" applyBorder="1" applyAlignment="1" applyProtection="1">
      <alignment/>
      <protection/>
    </xf>
    <xf numFmtId="0" fontId="14" fillId="0" borderId="0" xfId="0" applyFont="1" applyAlignment="1">
      <alignment/>
    </xf>
    <xf numFmtId="168" fontId="14" fillId="0" borderId="0" xfId="0" applyNumberFormat="1" applyFont="1" applyAlignment="1">
      <alignment/>
    </xf>
    <xf numFmtId="3" fontId="15" fillId="0" borderId="0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58">
      <alignment/>
      <protection/>
    </xf>
    <xf numFmtId="0" fontId="0" fillId="0" borderId="0" xfId="58" applyFont="1">
      <alignment/>
      <protection/>
    </xf>
    <xf numFmtId="0" fontId="2" fillId="0" borderId="0" xfId="56" applyFont="1">
      <alignment/>
      <protection/>
    </xf>
    <xf numFmtId="0" fontId="2" fillId="0" borderId="0" xfId="56" applyFont="1" applyAlignment="1">
      <alignment horizontal="center" vertical="center"/>
      <protection/>
    </xf>
    <xf numFmtId="3" fontId="4" fillId="0" borderId="10" xfId="56" applyNumberFormat="1" applyFont="1" applyBorder="1" applyAlignment="1">
      <alignment horizontal="center"/>
      <protection/>
    </xf>
    <xf numFmtId="3" fontId="4" fillId="0" borderId="10" xfId="56" applyNumberFormat="1" applyFont="1" applyBorder="1" applyAlignment="1">
      <alignment horizontal="center" vertical="center"/>
      <protection/>
    </xf>
    <xf numFmtId="0" fontId="4" fillId="0" borderId="10" xfId="56" applyFont="1" applyBorder="1" applyAlignment="1">
      <alignment horizontal="left" vertical="center"/>
      <protection/>
    </xf>
    <xf numFmtId="3" fontId="4" fillId="0" borderId="10" xfId="56" applyNumberFormat="1" applyFont="1" applyBorder="1" applyAlignment="1">
      <alignment horizontal="right" vertical="center"/>
      <protection/>
    </xf>
    <xf numFmtId="10" fontId="2" fillId="0" borderId="10" xfId="66" applyNumberFormat="1" applyFont="1" applyFill="1" applyBorder="1" applyAlignment="1" applyProtection="1">
      <alignment horizontal="right" vertical="center"/>
      <protection/>
    </xf>
    <xf numFmtId="0" fontId="2" fillId="0" borderId="10" xfId="56" applyFont="1" applyBorder="1" applyAlignment="1">
      <alignment horizontal="left" vertical="center"/>
      <protection/>
    </xf>
    <xf numFmtId="3" fontId="2" fillId="0" borderId="10" xfId="56" applyNumberFormat="1" applyFont="1" applyBorder="1" applyAlignment="1">
      <alignment horizontal="right" vertical="center"/>
      <protection/>
    </xf>
    <xf numFmtId="0" fontId="2" fillId="0" borderId="0" xfId="56" applyFont="1" applyAlignment="1">
      <alignment horizontal="left"/>
      <protection/>
    </xf>
    <xf numFmtId="0" fontId="4" fillId="0" borderId="10" xfId="56" applyFont="1" applyBorder="1" applyAlignment="1">
      <alignment horizontal="left"/>
      <protection/>
    </xf>
    <xf numFmtId="3" fontId="4" fillId="0" borderId="10" xfId="56" applyNumberFormat="1" applyFont="1" applyBorder="1" applyAlignment="1">
      <alignment horizontal="right"/>
      <protection/>
    </xf>
    <xf numFmtId="10" fontId="4" fillId="0" borderId="10" xfId="66" applyNumberFormat="1" applyFont="1" applyFill="1" applyBorder="1" applyAlignment="1" applyProtection="1">
      <alignment horizontal="right"/>
      <protection/>
    </xf>
    <xf numFmtId="0" fontId="4" fillId="0" borderId="0" xfId="56" applyFont="1">
      <alignment/>
      <protection/>
    </xf>
    <xf numFmtId="2" fontId="2" fillId="0" borderId="0" xfId="0" applyNumberFormat="1" applyFont="1" applyAlignment="1">
      <alignment/>
    </xf>
    <xf numFmtId="2" fontId="2" fillId="0" borderId="0" xfId="0" applyNumberFormat="1" applyFont="1" applyBorder="1" applyAlignment="1">
      <alignment/>
    </xf>
    <xf numFmtId="3" fontId="4" fillId="34" borderId="18" xfId="0" applyNumberFormat="1" applyFont="1" applyFill="1" applyBorder="1" applyAlignment="1">
      <alignment/>
    </xf>
    <xf numFmtId="3" fontId="4" fillId="34" borderId="24" xfId="0" applyNumberFormat="1" applyFont="1" applyFill="1" applyBorder="1" applyAlignment="1">
      <alignment/>
    </xf>
    <xf numFmtId="10" fontId="4" fillId="34" borderId="22" xfId="66" applyNumberFormat="1" applyFont="1" applyFill="1" applyBorder="1" applyAlignment="1" applyProtection="1">
      <alignment/>
      <protection/>
    </xf>
    <xf numFmtId="0" fontId="4" fillId="0" borderId="0" xfId="59" applyFont="1">
      <alignment/>
      <protection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3" fontId="4" fillId="0" borderId="18" xfId="0" applyNumberFormat="1" applyFont="1" applyBorder="1" applyAlignment="1">
      <alignment/>
    </xf>
    <xf numFmtId="10" fontId="4" fillId="0" borderId="18" xfId="66" applyNumberFormat="1" applyFont="1" applyFill="1" applyBorder="1" applyAlignment="1" applyProtection="1">
      <alignment/>
      <protection/>
    </xf>
    <xf numFmtId="2" fontId="4" fillId="0" borderId="0" xfId="0" applyNumberFormat="1" applyFont="1" applyAlignment="1">
      <alignment/>
    </xf>
    <xf numFmtId="0" fontId="2" fillId="0" borderId="11" xfId="0" applyFont="1" applyBorder="1" applyAlignment="1">
      <alignment/>
    </xf>
    <xf numFmtId="3" fontId="2" fillId="0" borderId="11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10" fontId="4" fillId="0" borderId="18" xfId="66" applyNumberFormat="1" applyFont="1" applyFill="1" applyBorder="1" applyAlignment="1" applyProtection="1">
      <alignment horizontal="center"/>
      <protection/>
    </xf>
    <xf numFmtId="3" fontId="4" fillId="0" borderId="24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3" fontId="2" fillId="0" borderId="11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 horizontal="left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3" fontId="2" fillId="0" borderId="28" xfId="0" applyNumberFormat="1" applyFont="1" applyBorder="1" applyAlignment="1">
      <alignment horizontal="center"/>
    </xf>
    <xf numFmtId="10" fontId="4" fillId="0" borderId="29" xfId="66" applyNumberFormat="1" applyFont="1" applyFill="1" applyBorder="1" applyAlignment="1" applyProtection="1">
      <alignment/>
      <protection/>
    </xf>
    <xf numFmtId="4" fontId="4" fillId="34" borderId="11" xfId="59" applyNumberFormat="1" applyFont="1" applyFill="1" applyBorder="1">
      <alignment/>
      <protection/>
    </xf>
    <xf numFmtId="10" fontId="4" fillId="34" borderId="18" xfId="66" applyNumberFormat="1" applyFont="1" applyFill="1" applyBorder="1" applyAlignment="1" applyProtection="1">
      <alignment/>
      <protection/>
    </xf>
    <xf numFmtId="0" fontId="4" fillId="0" borderId="0" xfId="0" applyFont="1" applyAlignment="1">
      <alignment horizontal="left"/>
    </xf>
    <xf numFmtId="0" fontId="2" fillId="0" borderId="17" xfId="0" applyFont="1" applyFill="1" applyBorder="1" applyAlignment="1">
      <alignment horizontal="left"/>
    </xf>
    <xf numFmtId="3" fontId="4" fillId="0" borderId="18" xfId="0" applyNumberFormat="1" applyFont="1" applyBorder="1" applyAlignment="1">
      <alignment horizontal="right"/>
    </xf>
    <xf numFmtId="3" fontId="4" fillId="0" borderId="24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4" fillId="0" borderId="11" xfId="0" applyFont="1" applyBorder="1" applyAlignment="1">
      <alignment/>
    </xf>
    <xf numFmtId="3" fontId="2" fillId="0" borderId="18" xfId="0" applyNumberFormat="1" applyFont="1" applyBorder="1" applyAlignment="1">
      <alignment horizontal="center"/>
    </xf>
    <xf numFmtId="3" fontId="2" fillId="0" borderId="24" xfId="0" applyNumberFormat="1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30" xfId="0" applyFont="1" applyBorder="1" applyAlignment="1">
      <alignment/>
    </xf>
    <xf numFmtId="3" fontId="4" fillId="0" borderId="26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10" fontId="4" fillId="0" borderId="23" xfId="66" applyNumberFormat="1" applyFont="1" applyFill="1" applyBorder="1" applyAlignment="1" applyProtection="1">
      <alignment/>
      <protection/>
    </xf>
    <xf numFmtId="166" fontId="5" fillId="0" borderId="15" xfId="66" applyNumberFormat="1" applyFont="1" applyFill="1" applyBorder="1" applyAlignment="1" applyProtection="1">
      <alignment/>
      <protection/>
    </xf>
    <xf numFmtId="3" fontId="4" fillId="0" borderId="0" xfId="59" applyNumberFormat="1" applyFont="1" applyBorder="1" applyAlignment="1">
      <alignment horizontal="center" vertical="center" wrapText="1"/>
      <protection/>
    </xf>
    <xf numFmtId="3" fontId="4" fillId="34" borderId="22" xfId="59" applyNumberFormat="1" applyFont="1" applyFill="1" applyBorder="1">
      <alignment/>
      <protection/>
    </xf>
    <xf numFmtId="3" fontId="4" fillId="34" borderId="32" xfId="59" applyNumberFormat="1" applyFont="1" applyFill="1" applyBorder="1">
      <alignment/>
      <protection/>
    </xf>
    <xf numFmtId="10" fontId="4" fillId="34" borderId="22" xfId="59" applyNumberFormat="1" applyFont="1" applyFill="1" applyBorder="1">
      <alignment/>
      <protection/>
    </xf>
    <xf numFmtId="3" fontId="4" fillId="0" borderId="0" xfId="59" applyNumberFormat="1" applyFont="1" applyBorder="1">
      <alignment/>
      <protection/>
    </xf>
    <xf numFmtId="10" fontId="4" fillId="0" borderId="18" xfId="59" applyNumberFormat="1" applyFont="1" applyBorder="1">
      <alignment/>
      <protection/>
    </xf>
    <xf numFmtId="3" fontId="2" fillId="0" borderId="24" xfId="0" applyNumberFormat="1" applyFont="1" applyFill="1" applyBorder="1" applyAlignment="1">
      <alignment horizontal="right"/>
    </xf>
    <xf numFmtId="3" fontId="2" fillId="0" borderId="24" xfId="0" applyNumberFormat="1" applyFont="1" applyFill="1" applyBorder="1" applyAlignment="1">
      <alignment horizontal="center"/>
    </xf>
    <xf numFmtId="3" fontId="2" fillId="0" borderId="24" xfId="0" applyNumberFormat="1" applyFont="1" applyFill="1" applyBorder="1" applyAlignment="1">
      <alignment/>
    </xf>
    <xf numFmtId="3" fontId="4" fillId="0" borderId="24" xfId="0" applyNumberFormat="1" applyFont="1" applyFill="1" applyBorder="1" applyAlignment="1">
      <alignment horizontal="right"/>
    </xf>
    <xf numFmtId="4" fontId="4" fillId="34" borderId="33" xfId="59" applyNumberFormat="1" applyFont="1" applyFill="1" applyBorder="1">
      <alignment/>
      <protection/>
    </xf>
    <xf numFmtId="3" fontId="4" fillId="34" borderId="34" xfId="59" applyNumberFormat="1" applyFont="1" applyFill="1" applyBorder="1">
      <alignment/>
      <protection/>
    </xf>
    <xf numFmtId="10" fontId="4" fillId="34" borderId="18" xfId="59" applyNumberFormat="1" applyFont="1" applyFill="1" applyBorder="1">
      <alignment/>
      <protection/>
    </xf>
    <xf numFmtId="3" fontId="4" fillId="0" borderId="24" xfId="0" applyNumberFormat="1" applyFont="1" applyFill="1" applyBorder="1" applyAlignment="1">
      <alignment/>
    </xf>
    <xf numFmtId="0" fontId="4" fillId="0" borderId="19" xfId="59" applyFont="1" applyBorder="1">
      <alignment/>
      <protection/>
    </xf>
    <xf numFmtId="0" fontId="4" fillId="0" borderId="20" xfId="59" applyFont="1" applyBorder="1">
      <alignment/>
      <protection/>
    </xf>
    <xf numFmtId="0" fontId="4" fillId="0" borderId="30" xfId="59" applyFont="1" applyBorder="1">
      <alignment/>
      <protection/>
    </xf>
    <xf numFmtId="3" fontId="4" fillId="0" borderId="26" xfId="59" applyNumberFormat="1" applyFont="1" applyBorder="1">
      <alignment/>
      <protection/>
    </xf>
    <xf numFmtId="3" fontId="4" fillId="0" borderId="31" xfId="59" applyNumberFormat="1" applyFont="1" applyBorder="1">
      <alignment/>
      <protection/>
    </xf>
    <xf numFmtId="10" fontId="4" fillId="0" borderId="23" xfId="59" applyNumberFormat="1" applyFont="1" applyBorder="1">
      <alignment/>
      <protection/>
    </xf>
    <xf numFmtId="4" fontId="4" fillId="0" borderId="30" xfId="59" applyNumberFormat="1" applyFont="1" applyBorder="1">
      <alignment/>
      <protection/>
    </xf>
    <xf numFmtId="4" fontId="4" fillId="0" borderId="20" xfId="59" applyNumberFormat="1" applyFont="1" applyBorder="1">
      <alignment/>
      <protection/>
    </xf>
    <xf numFmtId="3" fontId="4" fillId="0" borderId="20" xfId="59" applyNumberFormat="1" applyFont="1" applyBorder="1">
      <alignment/>
      <protection/>
    </xf>
    <xf numFmtId="10" fontId="4" fillId="0" borderId="20" xfId="59" applyNumberFormat="1" applyFont="1" applyBorder="1">
      <alignment/>
      <protection/>
    </xf>
    <xf numFmtId="4" fontId="4" fillId="0" borderId="0" xfId="59" applyNumberFormat="1" applyFont="1" applyBorder="1">
      <alignment/>
      <protection/>
    </xf>
    <xf numFmtId="0" fontId="4" fillId="0" borderId="22" xfId="0" applyFont="1" applyFill="1" applyBorder="1" applyAlignment="1">
      <alignment horizontal="left"/>
    </xf>
    <xf numFmtId="3" fontId="2" fillId="0" borderId="22" xfId="0" applyNumberFormat="1" applyFont="1" applyFill="1" applyBorder="1" applyAlignment="1">
      <alignment horizontal="right"/>
    </xf>
    <xf numFmtId="0" fontId="4" fillId="0" borderId="18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3" fontId="2" fillId="0" borderId="16" xfId="0" applyNumberFormat="1" applyFont="1" applyFill="1" applyBorder="1" applyAlignment="1">
      <alignment horizontal="right"/>
    </xf>
    <xf numFmtId="10" fontId="4" fillId="0" borderId="16" xfId="66" applyNumberFormat="1" applyFont="1" applyFill="1" applyBorder="1" applyAlignment="1" applyProtection="1">
      <alignment horizontal="right"/>
      <protection/>
    </xf>
    <xf numFmtId="0" fontId="2" fillId="0" borderId="0" xfId="59" applyFont="1">
      <alignment/>
      <protection/>
    </xf>
    <xf numFmtId="3" fontId="0" fillId="0" borderId="0" xfId="58" applyNumberFormat="1" applyFont="1">
      <alignment/>
      <protection/>
    </xf>
    <xf numFmtId="0" fontId="9" fillId="0" borderId="0" xfId="54" applyFont="1">
      <alignment/>
      <protection/>
    </xf>
    <xf numFmtId="0" fontId="2" fillId="33" borderId="35" xfId="54" applyFont="1" applyFill="1" applyBorder="1" applyAlignment="1">
      <alignment horizontal="center" vertical="top" wrapText="1"/>
      <protection/>
    </xf>
    <xf numFmtId="0" fontId="2" fillId="33" borderId="0" xfId="54" applyFont="1" applyFill="1" applyBorder="1" applyAlignment="1">
      <alignment horizontal="center" vertical="top" wrapText="1"/>
      <protection/>
    </xf>
    <xf numFmtId="0" fontId="2" fillId="33" borderId="17" xfId="54" applyFont="1" applyFill="1" applyBorder="1" applyAlignment="1">
      <alignment horizontal="center" vertical="top" wrapText="1"/>
      <protection/>
    </xf>
    <xf numFmtId="0" fontId="9" fillId="0" borderId="36" xfId="54" applyFont="1" applyBorder="1" applyAlignment="1">
      <alignment horizontal="center" vertical="top" wrapText="1"/>
      <protection/>
    </xf>
    <xf numFmtId="0" fontId="9" fillId="0" borderId="29" xfId="54" applyFont="1" applyBorder="1" applyAlignment="1">
      <alignment horizontal="left" vertical="top" wrapText="1"/>
      <protection/>
    </xf>
    <xf numFmtId="3" fontId="9" fillId="0" borderId="37" xfId="54" applyNumberFormat="1" applyFont="1" applyBorder="1" applyAlignment="1">
      <alignment horizontal="right" vertical="top" wrapText="1"/>
      <protection/>
    </xf>
    <xf numFmtId="0" fontId="9" fillId="0" borderId="38" xfId="54" applyFont="1" applyBorder="1" applyAlignment="1">
      <alignment horizontal="center" vertical="top" wrapText="1"/>
      <protection/>
    </xf>
    <xf numFmtId="0" fontId="9" fillId="0" borderId="39" xfId="54" applyFont="1" applyBorder="1" applyAlignment="1">
      <alignment horizontal="left" vertical="top" wrapText="1"/>
      <protection/>
    </xf>
    <xf numFmtId="3" fontId="9" fillId="0" borderId="40" xfId="54" applyNumberFormat="1" applyFont="1" applyBorder="1" applyAlignment="1">
      <alignment horizontal="right" vertical="top" wrapText="1"/>
      <protection/>
    </xf>
    <xf numFmtId="0" fontId="5" fillId="0" borderId="38" xfId="54" applyFont="1" applyBorder="1" applyAlignment="1">
      <alignment horizontal="center" vertical="top" wrapText="1"/>
      <protection/>
    </xf>
    <xf numFmtId="0" fontId="5" fillId="0" borderId="39" xfId="54" applyFont="1" applyBorder="1" applyAlignment="1">
      <alignment horizontal="left" vertical="top" wrapText="1"/>
      <protection/>
    </xf>
    <xf numFmtId="3" fontId="5" fillId="0" borderId="40" xfId="54" applyNumberFormat="1" applyFont="1" applyBorder="1" applyAlignment="1">
      <alignment horizontal="right" vertical="top" wrapText="1"/>
      <protection/>
    </xf>
    <xf numFmtId="0" fontId="5" fillId="0" borderId="41" xfId="54" applyFont="1" applyBorder="1" applyAlignment="1">
      <alignment horizontal="center" vertical="top" wrapText="1"/>
      <protection/>
    </xf>
    <xf numFmtId="0" fontId="5" fillId="0" borderId="42" xfId="54" applyFont="1" applyBorder="1" applyAlignment="1">
      <alignment horizontal="left" vertical="top" wrapText="1"/>
      <protection/>
    </xf>
    <xf numFmtId="3" fontId="5" fillId="0" borderId="43" xfId="54" applyNumberFormat="1" applyFont="1" applyBorder="1" applyAlignment="1">
      <alignment horizontal="right" vertical="top" wrapText="1"/>
      <protection/>
    </xf>
    <xf numFmtId="0" fontId="2" fillId="33" borderId="0" xfId="54" applyFont="1" applyFill="1" applyAlignment="1">
      <alignment horizontal="center" vertical="top" wrapText="1"/>
      <protection/>
    </xf>
    <xf numFmtId="0" fontId="9" fillId="0" borderId="39" xfId="54" applyFont="1" applyBorder="1" applyAlignment="1">
      <alignment horizontal="center" vertical="top" wrapText="1"/>
      <protection/>
    </xf>
    <xf numFmtId="3" fontId="9" fillId="0" borderId="39" xfId="54" applyNumberFormat="1" applyFont="1" applyBorder="1" applyAlignment="1">
      <alignment horizontal="right" vertical="top" wrapText="1"/>
      <protection/>
    </xf>
    <xf numFmtId="0" fontId="5" fillId="0" borderId="39" xfId="54" applyFont="1" applyBorder="1" applyAlignment="1">
      <alignment horizontal="center" vertical="top" wrapText="1"/>
      <protection/>
    </xf>
    <xf numFmtId="3" fontId="5" fillId="0" borderId="39" xfId="54" applyNumberFormat="1" applyFont="1" applyBorder="1" applyAlignment="1">
      <alignment horizontal="right" vertical="top" wrapText="1"/>
      <protection/>
    </xf>
    <xf numFmtId="0" fontId="5" fillId="0" borderId="34" xfId="54" applyFont="1" applyBorder="1" applyAlignment="1">
      <alignment horizontal="center" vertical="top" wrapText="1"/>
      <protection/>
    </xf>
    <xf numFmtId="0" fontId="5" fillId="0" borderId="34" xfId="54" applyFont="1" applyBorder="1" applyAlignment="1">
      <alignment horizontal="left" vertical="top" wrapText="1"/>
      <protection/>
    </xf>
    <xf numFmtId="3" fontId="5" fillId="0" borderId="34" xfId="54" applyNumberFormat="1" applyFont="1" applyBorder="1" applyAlignment="1">
      <alignment horizontal="right" vertical="top" wrapText="1"/>
      <protection/>
    </xf>
    <xf numFmtId="0" fontId="5" fillId="0" borderId="25" xfId="54" applyFont="1" applyBorder="1" applyAlignment="1">
      <alignment horizontal="center" vertical="top" wrapText="1"/>
      <protection/>
    </xf>
    <xf numFmtId="0" fontId="5" fillId="0" borderId="26" xfId="54" applyFont="1" applyBorder="1" applyAlignment="1">
      <alignment horizontal="left" vertical="top" wrapText="1"/>
      <protection/>
    </xf>
    <xf numFmtId="3" fontId="5" fillId="0" borderId="26" xfId="54" applyNumberFormat="1" applyFont="1" applyBorder="1" applyAlignment="1">
      <alignment horizontal="right" vertical="top" wrapText="1"/>
      <protection/>
    </xf>
    <xf numFmtId="3" fontId="5" fillId="0" borderId="23" xfId="54" applyNumberFormat="1" applyFont="1" applyBorder="1" applyAlignment="1">
      <alignment horizontal="right" vertical="top" wrapText="1"/>
      <protection/>
    </xf>
    <xf numFmtId="0" fontId="9" fillId="0" borderId="29" xfId="54" applyFont="1" applyBorder="1" applyAlignment="1">
      <alignment horizontal="center" vertical="top" wrapText="1"/>
      <protection/>
    </xf>
    <xf numFmtId="3" fontId="9" fillId="0" borderId="29" xfId="54" applyNumberFormat="1" applyFont="1" applyBorder="1" applyAlignment="1">
      <alignment horizontal="right" vertical="top" wrapText="1"/>
      <protection/>
    </xf>
    <xf numFmtId="0" fontId="5" fillId="0" borderId="42" xfId="54" applyFont="1" applyBorder="1" applyAlignment="1">
      <alignment horizontal="center" vertical="top" wrapText="1"/>
      <protection/>
    </xf>
    <xf numFmtId="3" fontId="5" fillId="0" borderId="42" xfId="54" applyNumberFormat="1" applyFont="1" applyBorder="1" applyAlignment="1">
      <alignment horizontal="right" vertical="top" wrapText="1"/>
      <protection/>
    </xf>
    <xf numFmtId="0" fontId="5" fillId="0" borderId="19" xfId="54" applyFont="1" applyBorder="1" applyAlignment="1">
      <alignment horizontal="center" vertical="top" wrapText="1"/>
      <protection/>
    </xf>
    <xf numFmtId="0" fontId="5" fillId="0" borderId="20" xfId="54" applyFont="1" applyBorder="1" applyAlignment="1">
      <alignment horizontal="left" vertical="top" wrapText="1"/>
      <protection/>
    </xf>
    <xf numFmtId="3" fontId="5" fillId="0" borderId="20" xfId="54" applyNumberFormat="1" applyFont="1" applyBorder="1" applyAlignment="1">
      <alignment horizontal="right" vertical="top" wrapText="1"/>
      <protection/>
    </xf>
    <xf numFmtId="3" fontId="5" fillId="0" borderId="21" xfId="54" applyNumberFormat="1" applyFont="1" applyBorder="1" applyAlignment="1">
      <alignment horizontal="right" vertical="top" wrapText="1"/>
      <protection/>
    </xf>
    <xf numFmtId="0" fontId="2" fillId="33" borderId="44" xfId="54" applyFont="1" applyFill="1" applyBorder="1" applyAlignment="1">
      <alignment horizontal="center" vertical="top" wrapText="1"/>
      <protection/>
    </xf>
    <xf numFmtId="0" fontId="2" fillId="33" borderId="12" xfId="54" applyFont="1" applyFill="1" applyBorder="1" applyAlignment="1">
      <alignment horizontal="center" vertical="top" wrapText="1"/>
      <protection/>
    </xf>
    <xf numFmtId="0" fontId="2" fillId="33" borderId="45" xfId="54" applyFont="1" applyFill="1" applyBorder="1" applyAlignment="1">
      <alignment horizontal="center" vertical="top" wrapText="1"/>
      <protection/>
    </xf>
    <xf numFmtId="0" fontId="9" fillId="0" borderId="46" xfId="54" applyFont="1" applyBorder="1" applyAlignment="1">
      <alignment horizontal="center" vertical="top" wrapText="1"/>
      <protection/>
    </xf>
    <xf numFmtId="0" fontId="9" fillId="0" borderId="47" xfId="54" applyFont="1" applyBorder="1" applyAlignment="1">
      <alignment horizontal="left" vertical="top" wrapText="1"/>
      <protection/>
    </xf>
    <xf numFmtId="3" fontId="9" fillId="0" borderId="47" xfId="54" applyNumberFormat="1" applyFont="1" applyBorder="1" applyAlignment="1">
      <alignment horizontal="right" vertical="top" wrapText="1"/>
      <protection/>
    </xf>
    <xf numFmtId="3" fontId="9" fillId="0" borderId="48" xfId="54" applyNumberFormat="1" applyFont="1" applyBorder="1" applyAlignment="1">
      <alignment horizontal="right" vertical="top" wrapText="1"/>
      <protection/>
    </xf>
    <xf numFmtId="0" fontId="9" fillId="0" borderId="49" xfId="54" applyFont="1" applyBorder="1" applyAlignment="1">
      <alignment horizontal="center" vertical="top" wrapText="1"/>
      <protection/>
    </xf>
    <xf numFmtId="3" fontId="9" fillId="0" borderId="50" xfId="54" applyNumberFormat="1" applyFont="1" applyBorder="1" applyAlignment="1">
      <alignment horizontal="right" vertical="top" wrapText="1"/>
      <protection/>
    </xf>
    <xf numFmtId="0" fontId="5" fillId="0" borderId="49" xfId="54" applyFont="1" applyBorder="1" applyAlignment="1">
      <alignment horizontal="center" vertical="top" wrapText="1"/>
      <protection/>
    </xf>
    <xf numFmtId="3" fontId="5" fillId="0" borderId="50" xfId="54" applyNumberFormat="1" applyFont="1" applyBorder="1" applyAlignment="1">
      <alignment horizontal="right" vertical="top" wrapText="1"/>
      <protection/>
    </xf>
    <xf numFmtId="0" fontId="5" fillId="0" borderId="51" xfId="54" applyFont="1" applyBorder="1" applyAlignment="1">
      <alignment horizontal="center" vertical="top" wrapText="1"/>
      <protection/>
    </xf>
    <xf numFmtId="3" fontId="5" fillId="0" borderId="52" xfId="54" applyNumberFormat="1" applyFont="1" applyBorder="1" applyAlignment="1">
      <alignment horizontal="right" vertical="top" wrapText="1"/>
      <protection/>
    </xf>
    <xf numFmtId="0" fontId="16" fillId="33" borderId="10" xfId="54" applyFont="1" applyFill="1" applyBorder="1" applyAlignment="1">
      <alignment horizontal="center" vertical="top" wrapText="1"/>
      <protection/>
    </xf>
    <xf numFmtId="0" fontId="16" fillId="0" borderId="0" xfId="54" applyFont="1">
      <alignment/>
      <protection/>
    </xf>
    <xf numFmtId="0" fontId="5" fillId="0" borderId="53" xfId="54" applyFont="1" applyBorder="1" applyAlignment="1">
      <alignment horizontal="center" vertical="top" wrapText="1"/>
      <protection/>
    </xf>
    <xf numFmtId="0" fontId="5" fillId="0" borderId="14" xfId="54" applyFont="1" applyBorder="1" applyAlignment="1">
      <alignment horizontal="left" vertical="top" wrapText="1"/>
      <protection/>
    </xf>
    <xf numFmtId="3" fontId="5" fillId="0" borderId="14" xfId="54" applyNumberFormat="1" applyFont="1" applyBorder="1" applyAlignment="1">
      <alignment horizontal="right" vertical="top" wrapText="1"/>
      <protection/>
    </xf>
    <xf numFmtId="3" fontId="5" fillId="0" borderId="54" xfId="54" applyNumberFormat="1" applyFont="1" applyBorder="1" applyAlignment="1">
      <alignment horizontal="right" vertical="top" wrapText="1"/>
      <protection/>
    </xf>
    <xf numFmtId="0" fontId="9" fillId="0" borderId="35" xfId="54" applyFont="1" applyBorder="1" applyAlignment="1">
      <alignment horizontal="center" vertical="top" wrapText="1"/>
      <protection/>
    </xf>
    <xf numFmtId="0" fontId="9" fillId="0" borderId="0" xfId="54" applyFont="1" applyBorder="1" applyAlignment="1">
      <alignment horizontal="left" vertical="top" wrapText="1"/>
      <protection/>
    </xf>
    <xf numFmtId="3" fontId="9" fillId="0" borderId="0" xfId="54" applyNumberFormat="1" applyFont="1" applyBorder="1" applyAlignment="1">
      <alignment horizontal="right" vertical="top" wrapText="1"/>
      <protection/>
    </xf>
    <xf numFmtId="3" fontId="9" fillId="0" borderId="17" xfId="54" applyNumberFormat="1" applyFont="1" applyBorder="1" applyAlignment="1">
      <alignment horizontal="right" vertical="top" wrapText="1"/>
      <protection/>
    </xf>
    <xf numFmtId="0" fontId="5" fillId="0" borderId="35" xfId="54" applyFont="1" applyBorder="1" applyAlignment="1">
      <alignment horizontal="center" vertical="top" wrapText="1"/>
      <protection/>
    </xf>
    <xf numFmtId="0" fontId="5" fillId="0" borderId="0" xfId="54" applyFont="1" applyBorder="1" applyAlignment="1">
      <alignment horizontal="left" vertical="top" wrapText="1"/>
      <protection/>
    </xf>
    <xf numFmtId="3" fontId="5" fillId="0" borderId="0" xfId="54" applyNumberFormat="1" applyFont="1" applyBorder="1" applyAlignment="1">
      <alignment horizontal="right" vertical="top" wrapText="1"/>
      <protection/>
    </xf>
    <xf numFmtId="3" fontId="5" fillId="0" borderId="17" xfId="54" applyNumberFormat="1" applyFont="1" applyBorder="1" applyAlignment="1">
      <alignment horizontal="right" vertical="top" wrapText="1"/>
      <protection/>
    </xf>
    <xf numFmtId="0" fontId="9" fillId="0" borderId="44" xfId="54" applyFont="1" applyBorder="1" applyAlignment="1">
      <alignment horizontal="center" vertical="top" wrapText="1"/>
      <protection/>
    </xf>
    <xf numFmtId="0" fontId="9" fillId="0" borderId="12" xfId="54" applyFont="1" applyBorder="1" applyAlignment="1">
      <alignment horizontal="left" vertical="top" wrapText="1"/>
      <protection/>
    </xf>
    <xf numFmtId="3" fontId="9" fillId="0" borderId="12" xfId="54" applyNumberFormat="1" applyFont="1" applyBorder="1" applyAlignment="1">
      <alignment horizontal="right" vertical="top" wrapText="1"/>
      <protection/>
    </xf>
    <xf numFmtId="3" fontId="9" fillId="0" borderId="45" xfId="54" applyNumberFormat="1" applyFont="1" applyBorder="1" applyAlignment="1">
      <alignment horizontal="right" vertical="top" wrapText="1"/>
      <protection/>
    </xf>
    <xf numFmtId="0" fontId="9" fillId="0" borderId="0" xfId="54" applyFont="1" applyAlignment="1">
      <alignment horizontal="center" vertical="top" wrapText="1"/>
      <protection/>
    </xf>
    <xf numFmtId="0" fontId="9" fillId="0" borderId="0" xfId="54" applyFont="1" applyAlignment="1">
      <alignment horizontal="left" vertical="top" wrapText="1"/>
      <protection/>
    </xf>
    <xf numFmtId="3" fontId="9" fillId="0" borderId="0" xfId="54" applyNumberFormat="1" applyFont="1" applyAlignment="1">
      <alignment horizontal="right" vertical="top" wrapText="1"/>
      <protection/>
    </xf>
    <xf numFmtId="0" fontId="5" fillId="0" borderId="0" xfId="54" applyFont="1" applyAlignment="1">
      <alignment horizontal="center" vertical="top" wrapText="1"/>
      <protection/>
    </xf>
    <xf numFmtId="0" fontId="5" fillId="0" borderId="0" xfId="54" applyFont="1" applyAlignment="1">
      <alignment horizontal="left" vertical="top" wrapText="1"/>
      <protection/>
    </xf>
    <xf numFmtId="3" fontId="5" fillId="0" borderId="0" xfId="54" applyNumberFormat="1" applyFont="1" applyAlignment="1">
      <alignment horizontal="right" vertical="top" wrapText="1"/>
      <protection/>
    </xf>
    <xf numFmtId="0" fontId="1" fillId="0" borderId="0" xfId="54">
      <alignment/>
      <protection/>
    </xf>
    <xf numFmtId="0" fontId="13" fillId="33" borderId="35" xfId="54" applyFont="1" applyFill="1" applyBorder="1" applyAlignment="1">
      <alignment horizontal="center" vertical="top" wrapText="1"/>
      <protection/>
    </xf>
    <xf numFmtId="0" fontId="13" fillId="33" borderId="0" xfId="54" applyFont="1" applyFill="1" applyBorder="1" applyAlignment="1">
      <alignment horizontal="center" vertical="top" wrapText="1"/>
      <protection/>
    </xf>
    <xf numFmtId="0" fontId="13" fillId="33" borderId="17" xfId="54" applyFont="1" applyFill="1" applyBorder="1" applyAlignment="1">
      <alignment horizontal="center" vertical="top" wrapText="1"/>
      <protection/>
    </xf>
    <xf numFmtId="0" fontId="0" fillId="0" borderId="55" xfId="54" applyFont="1" applyBorder="1" applyAlignment="1">
      <alignment horizontal="center" vertical="top" wrapText="1"/>
      <protection/>
    </xf>
    <xf numFmtId="0" fontId="0" fillId="0" borderId="18" xfId="54" applyFont="1" applyBorder="1" applyAlignment="1">
      <alignment horizontal="left" vertical="top" wrapText="1"/>
      <protection/>
    </xf>
    <xf numFmtId="3" fontId="0" fillId="0" borderId="56" xfId="54" applyNumberFormat="1" applyFont="1" applyBorder="1" applyAlignment="1">
      <alignment horizontal="right" vertical="top" wrapText="1"/>
      <protection/>
    </xf>
    <xf numFmtId="0" fontId="6" fillId="0" borderId="55" xfId="54" applyFont="1" applyBorder="1" applyAlignment="1">
      <alignment horizontal="center" vertical="top" wrapText="1"/>
      <protection/>
    </xf>
    <xf numFmtId="0" fontId="6" fillId="0" borderId="18" xfId="54" applyFont="1" applyBorder="1" applyAlignment="1">
      <alignment horizontal="left" vertical="top" wrapText="1"/>
      <protection/>
    </xf>
    <xf numFmtId="3" fontId="6" fillId="0" borderId="56" xfId="54" applyNumberFormat="1" applyFont="1" applyBorder="1" applyAlignment="1">
      <alignment horizontal="right" vertical="top" wrapText="1"/>
      <protection/>
    </xf>
    <xf numFmtId="0" fontId="6" fillId="0" borderId="57" xfId="54" applyFont="1" applyBorder="1" applyAlignment="1">
      <alignment horizontal="center" vertical="top" wrapText="1"/>
      <protection/>
    </xf>
    <xf numFmtId="0" fontId="6" fillId="0" borderId="16" xfId="54" applyFont="1" applyBorder="1" applyAlignment="1">
      <alignment horizontal="left" vertical="top" wrapText="1"/>
      <protection/>
    </xf>
    <xf numFmtId="3" fontId="6" fillId="0" borderId="58" xfId="54" applyNumberFormat="1" applyFont="1" applyBorder="1" applyAlignment="1">
      <alignment horizontal="right" vertical="top" wrapText="1"/>
      <protection/>
    </xf>
    <xf numFmtId="0" fontId="16" fillId="33" borderId="53" xfId="54" applyFont="1" applyFill="1" applyBorder="1" applyAlignment="1">
      <alignment horizontal="center" vertical="top" wrapText="1"/>
      <protection/>
    </xf>
    <xf numFmtId="0" fontId="16" fillId="33" borderId="14" xfId="54" applyFont="1" applyFill="1" applyBorder="1" applyAlignment="1">
      <alignment horizontal="center" vertical="top" wrapText="1"/>
      <protection/>
    </xf>
    <xf numFmtId="0" fontId="16" fillId="33" borderId="54" xfId="54" applyFont="1" applyFill="1" applyBorder="1" applyAlignment="1">
      <alignment horizontal="center" vertical="top" wrapText="1"/>
      <protection/>
    </xf>
    <xf numFmtId="0" fontId="9" fillId="33" borderId="0" xfId="54" applyFont="1" applyFill="1" applyAlignment="1">
      <alignment horizontal="center" vertical="top" wrapText="1"/>
      <protection/>
    </xf>
    <xf numFmtId="10" fontId="4" fillId="0" borderId="10" xfId="66" applyNumberFormat="1" applyFont="1" applyBorder="1" applyAlignment="1">
      <alignment horizontal="right" vertical="center"/>
    </xf>
    <xf numFmtId="10" fontId="2" fillId="0" borderId="10" xfId="66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3" fontId="1" fillId="0" borderId="0" xfId="54" applyNumberFormat="1">
      <alignment/>
      <protection/>
    </xf>
    <xf numFmtId="0" fontId="0" fillId="0" borderId="0" xfId="59" applyFont="1">
      <alignment/>
      <protection/>
    </xf>
    <xf numFmtId="168" fontId="0" fillId="0" borderId="0" xfId="40" applyNumberFormat="1" applyFont="1" applyFill="1" applyBorder="1" applyAlignment="1" applyProtection="1">
      <alignment horizontal="left"/>
      <protection/>
    </xf>
    <xf numFmtId="0" fontId="0" fillId="0" borderId="0" xfId="57" applyFont="1">
      <alignment/>
      <protection/>
    </xf>
    <xf numFmtId="3" fontId="0" fillId="0" borderId="0" xfId="57" applyNumberFormat="1" applyFont="1">
      <alignment/>
      <protection/>
    </xf>
    <xf numFmtId="168" fontId="0" fillId="0" borderId="0" xfId="40" applyNumberFormat="1" applyFont="1" applyFill="1" applyBorder="1" applyAlignment="1" applyProtection="1">
      <alignment/>
      <protection/>
    </xf>
    <xf numFmtId="0" fontId="0" fillId="0" borderId="0" xfId="57" applyFont="1" applyAlignment="1">
      <alignment/>
      <protection/>
    </xf>
    <xf numFmtId="3" fontId="2" fillId="0" borderId="27" xfId="0" applyNumberFormat="1" applyFont="1" applyBorder="1" applyAlignment="1">
      <alignment horizontal="center"/>
    </xf>
    <xf numFmtId="3" fontId="4" fillId="34" borderId="18" xfId="0" applyNumberFormat="1" applyFont="1" applyFill="1" applyBorder="1" applyAlignment="1">
      <alignment horizontal="right"/>
    </xf>
    <xf numFmtId="3" fontId="4" fillId="34" borderId="24" xfId="0" applyNumberFormat="1" applyFont="1" applyFill="1" applyBorder="1" applyAlignment="1">
      <alignment horizontal="right"/>
    </xf>
    <xf numFmtId="3" fontId="4" fillId="34" borderId="59" xfId="59" applyNumberFormat="1" applyFont="1" applyFill="1" applyBorder="1">
      <alignment/>
      <protection/>
    </xf>
    <xf numFmtId="10" fontId="4" fillId="0" borderId="60" xfId="66" applyNumberFormat="1" applyFont="1" applyFill="1" applyBorder="1" applyAlignment="1" applyProtection="1">
      <alignment horizontal="right"/>
      <protection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2" fillId="0" borderId="0" xfId="59" applyFont="1" applyFill="1" applyBorder="1" applyAlignment="1">
      <alignment horizontal="right"/>
      <protection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57" applyFont="1" applyBorder="1" applyAlignment="1">
      <alignment horizontal="right"/>
      <protection/>
    </xf>
    <xf numFmtId="0" fontId="2" fillId="0" borderId="0" xfId="57" applyFont="1" applyBorder="1" applyAlignment="1">
      <alignment horizontal="center"/>
      <protection/>
    </xf>
    <xf numFmtId="0" fontId="2" fillId="0" borderId="0" xfId="59" applyFont="1" applyBorder="1" applyAlignment="1">
      <alignment horizontal="right"/>
      <protection/>
    </xf>
    <xf numFmtId="0" fontId="4" fillId="34" borderId="15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4" fillId="34" borderId="11" xfId="0" applyFont="1" applyFill="1" applyBorder="1" applyAlignment="1">
      <alignment horizontal="left"/>
    </xf>
    <xf numFmtId="0" fontId="4" fillId="34" borderId="0" xfId="0" applyFont="1" applyFill="1" applyBorder="1" applyAlignment="1">
      <alignment/>
    </xf>
    <xf numFmtId="0" fontId="2" fillId="0" borderId="0" xfId="57" applyFont="1" applyBorder="1" applyAlignment="1">
      <alignment horizontal="center" vertical="center"/>
      <protection/>
    </xf>
    <xf numFmtId="0" fontId="2" fillId="0" borderId="0" xfId="55" applyFont="1" applyBorder="1" applyAlignment="1">
      <alignment horizontal="right"/>
      <protection/>
    </xf>
    <xf numFmtId="0" fontId="2" fillId="0" borderId="0" xfId="55" applyFont="1" applyBorder="1" applyAlignment="1">
      <alignment horizontal="center" vertical="center"/>
      <protection/>
    </xf>
    <xf numFmtId="0" fontId="4" fillId="0" borderId="10" xfId="55" applyFont="1" applyBorder="1" applyAlignment="1">
      <alignment horizontal="center" vertical="center" wrapText="1"/>
      <protection/>
    </xf>
    <xf numFmtId="0" fontId="2" fillId="0" borderId="0" xfId="55" applyFont="1" applyBorder="1" applyAlignment="1">
      <alignment horizontal="center"/>
      <protection/>
    </xf>
    <xf numFmtId="0" fontId="2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justify"/>
    </xf>
    <xf numFmtId="0" fontId="2" fillId="0" borderId="0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 wrapText="1"/>
    </xf>
    <xf numFmtId="3" fontId="5" fillId="0" borderId="10" xfId="56" applyNumberFormat="1" applyFont="1" applyBorder="1" applyAlignment="1">
      <alignment horizontal="center" vertical="center" wrapText="1"/>
      <protection/>
    </xf>
    <xf numFmtId="0" fontId="2" fillId="0" borderId="0" xfId="58" applyFont="1" applyBorder="1" applyAlignment="1">
      <alignment horizontal="right"/>
      <protection/>
    </xf>
    <xf numFmtId="0" fontId="2" fillId="0" borderId="0" xfId="56" applyFont="1" applyBorder="1" applyAlignment="1">
      <alignment horizontal="center" vertical="center"/>
      <protection/>
    </xf>
    <xf numFmtId="0" fontId="4" fillId="0" borderId="10" xfId="56" applyFont="1" applyBorder="1" applyAlignment="1">
      <alignment horizontal="center" vertical="center"/>
      <protection/>
    </xf>
    <xf numFmtId="3" fontId="4" fillId="0" borderId="10" xfId="56" applyNumberFormat="1" applyFont="1" applyBorder="1" applyAlignment="1">
      <alignment horizontal="center" vertical="center" wrapText="1"/>
      <protection/>
    </xf>
    <xf numFmtId="0" fontId="4" fillId="0" borderId="11" xfId="59" applyFont="1" applyBorder="1" applyAlignment="1">
      <alignment horizontal="left"/>
      <protection/>
    </xf>
    <xf numFmtId="0" fontId="4" fillId="34" borderId="11" xfId="59" applyFont="1" applyFill="1" applyBorder="1" applyAlignment="1">
      <alignment horizontal="left"/>
      <protection/>
    </xf>
    <xf numFmtId="0" fontId="4" fillId="34" borderId="33" xfId="59" applyFont="1" applyFill="1" applyBorder="1" applyAlignment="1">
      <alignment horizontal="left"/>
      <protection/>
    </xf>
    <xf numFmtId="0" fontId="2" fillId="0" borderId="0" xfId="59" applyFont="1" applyBorder="1" applyAlignment="1">
      <alignment horizontal="center" vertical="center"/>
      <protection/>
    </xf>
    <xf numFmtId="0" fontId="2" fillId="0" borderId="12" xfId="59" applyFont="1" applyBorder="1" applyAlignment="1">
      <alignment horizontal="center" vertical="center"/>
      <protection/>
    </xf>
    <xf numFmtId="0" fontId="4" fillId="0" borderId="10" xfId="59" applyFont="1" applyBorder="1" applyAlignment="1">
      <alignment horizontal="center" vertical="center"/>
      <protection/>
    </xf>
    <xf numFmtId="3" fontId="4" fillId="0" borderId="10" xfId="59" applyNumberFormat="1" applyFont="1" applyBorder="1" applyAlignment="1">
      <alignment horizontal="center" vertical="center" wrapText="1"/>
      <protection/>
    </xf>
    <xf numFmtId="0" fontId="9" fillId="0" borderId="0" xfId="54" applyFont="1" applyBorder="1" applyAlignment="1">
      <alignment horizontal="right"/>
      <protection/>
    </xf>
    <xf numFmtId="0" fontId="2" fillId="33" borderId="61" xfId="54" applyFont="1" applyFill="1" applyBorder="1" applyAlignment="1">
      <alignment horizontal="center" vertical="top" wrapText="1"/>
      <protection/>
    </xf>
    <xf numFmtId="0" fontId="2" fillId="33" borderId="0" xfId="54" applyFont="1" applyFill="1" applyBorder="1" applyAlignment="1">
      <alignment horizontal="center" vertical="top" wrapText="1"/>
      <protection/>
    </xf>
    <xf numFmtId="0" fontId="9" fillId="0" borderId="0" xfId="54" applyFont="1" applyFill="1" applyBorder="1" applyAlignment="1">
      <alignment horizontal="right"/>
      <protection/>
    </xf>
    <xf numFmtId="0" fontId="2" fillId="33" borderId="10" xfId="54" applyFont="1" applyFill="1" applyBorder="1" applyAlignment="1">
      <alignment horizontal="center" vertical="top" wrapText="1"/>
      <protection/>
    </xf>
    <xf numFmtId="0" fontId="1" fillId="0" borderId="0" xfId="54" applyFont="1" applyBorder="1" applyAlignment="1">
      <alignment horizontal="right"/>
      <protection/>
    </xf>
    <xf numFmtId="0" fontId="13" fillId="33" borderId="61" xfId="54" applyFont="1" applyFill="1" applyBorder="1" applyAlignment="1">
      <alignment horizontal="center" vertical="top" wrapText="1"/>
      <protection/>
    </xf>
    <xf numFmtId="0" fontId="9" fillId="0" borderId="12" xfId="54" applyFont="1" applyBorder="1" applyAlignment="1">
      <alignment horizontal="right"/>
      <protection/>
    </xf>
    <xf numFmtId="3" fontId="2" fillId="0" borderId="22" xfId="57" applyNumberFormat="1" applyFont="1" applyFill="1" applyBorder="1" applyAlignment="1">
      <alignment horizontal="right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Normál_2010. évi költségvetés mellékletek" xfId="55"/>
    <cellStyle name="Normál_2010. évi költségvetés mellékletek_Mkálla 3.4 éves ktgvetés mód. 2013. 2" xfId="56"/>
    <cellStyle name="Normál_Köveskál 2014. évi költségvetés" xfId="57"/>
    <cellStyle name="Normál_Mkálla 3.4 éves ktgvetés mód. 2013. 2" xfId="58"/>
    <cellStyle name="Normál_Mkálla ktgvetés 2013.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27"/>
  <sheetViews>
    <sheetView zoomScale="90" zoomScaleNormal="90" zoomScaleSheetLayoutView="110" zoomScalePageLayoutView="0" workbookViewId="0" topLeftCell="A1">
      <selection activeCell="A1" sqref="A1:F1"/>
    </sheetView>
  </sheetViews>
  <sheetFormatPr defaultColWidth="9.140625" defaultRowHeight="12.75"/>
  <cols>
    <col min="1" max="1" width="4.421875" style="1" customWidth="1"/>
    <col min="2" max="2" width="66.421875" style="1" customWidth="1"/>
    <col min="3" max="4" width="16.140625" style="1" customWidth="1"/>
    <col min="5" max="5" width="14.421875" style="1" customWidth="1"/>
    <col min="6" max="6" width="17.00390625" style="1" customWidth="1"/>
    <col min="7" max="16384" width="9.140625" style="1" customWidth="1"/>
  </cols>
  <sheetData>
    <row r="1" spans="1:6" ht="15.75">
      <c r="A1" s="460" t="s">
        <v>573</v>
      </c>
      <c r="B1" s="460"/>
      <c r="C1" s="460"/>
      <c r="D1" s="460"/>
      <c r="E1" s="460"/>
      <c r="F1" s="460"/>
    </row>
    <row r="2" spans="1:3" s="2" customFormat="1" ht="15.75">
      <c r="A2" s="460"/>
      <c r="B2" s="460"/>
      <c r="C2" s="460"/>
    </row>
    <row r="3" spans="1:6" s="2" customFormat="1" ht="24.75" customHeight="1">
      <c r="A3" s="461" t="s">
        <v>0</v>
      </c>
      <c r="B3" s="461"/>
      <c r="C3" s="461"/>
      <c r="D3" s="461"/>
      <c r="E3" s="461"/>
      <c r="F3" s="461"/>
    </row>
    <row r="4" spans="1:6" s="2" customFormat="1" ht="26.25" customHeight="1">
      <c r="A4" s="461" t="s">
        <v>1</v>
      </c>
      <c r="B4" s="461"/>
      <c r="C4" s="461"/>
      <c r="D4" s="461"/>
      <c r="E4" s="461"/>
      <c r="F4" s="461"/>
    </row>
    <row r="5" spans="1:5" s="4" customFormat="1" ht="19.5" customHeight="1">
      <c r="A5" s="3"/>
      <c r="B5" s="3"/>
      <c r="C5" s="3"/>
      <c r="D5" s="447"/>
      <c r="E5" s="2"/>
    </row>
    <row r="6" spans="1:6" s="2" customFormat="1" ht="42" customHeight="1">
      <c r="A6" s="462" t="s">
        <v>2</v>
      </c>
      <c r="B6" s="462"/>
      <c r="C6" s="5" t="s">
        <v>3</v>
      </c>
      <c r="D6" s="5" t="s">
        <v>3</v>
      </c>
      <c r="E6" s="6" t="s">
        <v>4</v>
      </c>
      <c r="F6" s="7" t="s">
        <v>5</v>
      </c>
    </row>
    <row r="7" spans="1:6" s="2" customFormat="1" ht="24" customHeight="1">
      <c r="A7" s="462"/>
      <c r="B7" s="462"/>
      <c r="C7" s="5" t="s">
        <v>6</v>
      </c>
      <c r="D7" s="5" t="s">
        <v>7</v>
      </c>
      <c r="E7" s="7" t="s">
        <v>8</v>
      </c>
      <c r="F7" s="7" t="s">
        <v>9</v>
      </c>
    </row>
    <row r="8" spans="1:6" s="2" customFormat="1" ht="31.5" customHeight="1">
      <c r="A8" s="8"/>
      <c r="B8" s="8" t="s">
        <v>10</v>
      </c>
      <c r="C8" s="9">
        <f>SUM(C9:C12)</f>
        <v>75172919</v>
      </c>
      <c r="D8" s="9">
        <f>SUM(D9:D12)</f>
        <v>88875500</v>
      </c>
      <c r="E8" s="9">
        <f>SUM(E9:E12)</f>
        <v>87252091</v>
      </c>
      <c r="F8" s="10">
        <f aca="true" t="shared" si="0" ref="F8:F27">E8/D8</f>
        <v>0.9817338974182986</v>
      </c>
    </row>
    <row r="9" spans="1:6" s="2" customFormat="1" ht="15.75">
      <c r="A9" s="11" t="s">
        <v>11</v>
      </c>
      <c r="B9" s="12" t="s">
        <v>12</v>
      </c>
      <c r="C9" s="13">
        <f>'7.Táj.adatok műk.'!E7</f>
        <v>43498112</v>
      </c>
      <c r="D9" s="13">
        <f>'2.bevétel'!G87+'11.Idősek Otthona bevétel'!G25</f>
        <v>53018119</v>
      </c>
      <c r="E9" s="13">
        <f>'2.bevétel'!H87+'11.Idősek Otthona bevétel'!H25</f>
        <v>52007598</v>
      </c>
      <c r="F9" s="14">
        <f t="shared" si="0"/>
        <v>0.98094008201234</v>
      </c>
    </row>
    <row r="10" spans="1:6" s="2" customFormat="1" ht="15.75">
      <c r="A10" s="11" t="s">
        <v>13</v>
      </c>
      <c r="B10" s="12" t="s">
        <v>14</v>
      </c>
      <c r="C10" s="13">
        <f>'7.Táj.adatok műk.'!E8</f>
        <v>8480000</v>
      </c>
      <c r="D10" s="13">
        <f>'2.bevétel'!G89</f>
        <v>12185239</v>
      </c>
      <c r="E10" s="13">
        <f>'2.bevétel'!H89</f>
        <v>12185239</v>
      </c>
      <c r="F10" s="14">
        <f t="shared" si="0"/>
        <v>1</v>
      </c>
    </row>
    <row r="11" spans="1:6" s="2" customFormat="1" ht="15.75">
      <c r="A11" s="11" t="s">
        <v>15</v>
      </c>
      <c r="B11" s="12" t="s">
        <v>16</v>
      </c>
      <c r="C11" s="13">
        <f>'7.Táj.adatok műk.'!E9</f>
        <v>23189807</v>
      </c>
      <c r="D11" s="13">
        <f>'2.bevétel'!G90+'11.Idősek Otthona bevétel'!G9</f>
        <v>23572142</v>
      </c>
      <c r="E11" s="13">
        <f>'2.bevétel'!H90+'11.Idősek Otthona bevétel'!H9</f>
        <v>22959254</v>
      </c>
      <c r="F11" s="14">
        <f t="shared" si="0"/>
        <v>0.9739994778582277</v>
      </c>
    </row>
    <row r="12" spans="1:6" s="2" customFormat="1" ht="15.75">
      <c r="A12" s="11" t="s">
        <v>17</v>
      </c>
      <c r="B12" s="12" t="s">
        <v>18</v>
      </c>
      <c r="C12" s="13">
        <f>'7.Táj.adatok műk.'!E10</f>
        <v>5000</v>
      </c>
      <c r="D12" s="13">
        <f>'2.bevétel'!G91</f>
        <v>100000</v>
      </c>
      <c r="E12" s="13">
        <f>'2.bevétel'!H91</f>
        <v>100000</v>
      </c>
      <c r="F12" s="14">
        <f t="shared" si="0"/>
        <v>1</v>
      </c>
    </row>
    <row r="13" spans="1:6" s="2" customFormat="1" ht="29.25" customHeight="1">
      <c r="A13" s="15"/>
      <c r="B13" s="15" t="s">
        <v>19</v>
      </c>
      <c r="C13" s="9">
        <f>SUM(C14)</f>
        <v>5805012</v>
      </c>
      <c r="D13" s="9">
        <f>SUM(D14)</f>
        <v>5805012</v>
      </c>
      <c r="E13" s="9">
        <f>SUM(E14)</f>
        <v>5805012</v>
      </c>
      <c r="F13" s="10">
        <f t="shared" si="0"/>
        <v>1</v>
      </c>
    </row>
    <row r="14" spans="1:6" s="2" customFormat="1" ht="17.25" customHeight="1">
      <c r="A14" s="11" t="s">
        <v>20</v>
      </c>
      <c r="B14" s="16" t="s">
        <v>21</v>
      </c>
      <c r="C14" s="13">
        <f>'8.Táj.adatok felh.'!E7</f>
        <v>5805012</v>
      </c>
      <c r="D14" s="13">
        <f>'2.bevétel'!G88</f>
        <v>5805012</v>
      </c>
      <c r="E14" s="13">
        <f>'2.bevétel'!H88</f>
        <v>5805012</v>
      </c>
      <c r="F14" s="14">
        <f t="shared" si="0"/>
        <v>1</v>
      </c>
    </row>
    <row r="15" spans="1:6" s="2" customFormat="1" ht="30" customHeight="1">
      <c r="A15" s="8" t="s">
        <v>22</v>
      </c>
      <c r="B15" s="17" t="s">
        <v>23</v>
      </c>
      <c r="C15" s="9">
        <f>'7.Táj.adatok műk.'!E11</f>
        <v>26845069</v>
      </c>
      <c r="D15" s="9">
        <f>'2.bevétel'!G92+'11.Idősek Otthona bevétel'!G19-'11.Idősek Otthona bevétel'!G23</f>
        <v>26845069</v>
      </c>
      <c r="E15" s="9">
        <f>'2.bevétel'!H92+'11.Idősek Otthona bevétel'!H19-24489819</f>
        <v>27141310</v>
      </c>
      <c r="F15" s="10">
        <f t="shared" si="0"/>
        <v>1.0110352109730096</v>
      </c>
    </row>
    <row r="16" spans="1:106" s="21" customFormat="1" ht="30" customHeight="1">
      <c r="A16" s="18"/>
      <c r="B16" s="18" t="s">
        <v>24</v>
      </c>
      <c r="C16" s="19">
        <f>SUM(C8+C13+C15)</f>
        <v>107823000</v>
      </c>
      <c r="D16" s="19">
        <f>SUM(D8+D13+D15)</f>
        <v>121525581</v>
      </c>
      <c r="E16" s="19">
        <f>SUM(E8+E13+E15)</f>
        <v>120198413</v>
      </c>
      <c r="F16" s="20">
        <f t="shared" si="0"/>
        <v>0.9890791059044597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</row>
    <row r="17" spans="1:6" s="25" customFormat="1" ht="30" customHeight="1">
      <c r="A17" s="22"/>
      <c r="B17" s="22" t="s">
        <v>25</v>
      </c>
      <c r="C17" s="23">
        <f>SUM(C18:C22)</f>
        <v>94111000</v>
      </c>
      <c r="D17" s="23">
        <f>SUM(D18:D22)</f>
        <v>106942741</v>
      </c>
      <c r="E17" s="23">
        <f>SUM(E18:E22)</f>
        <v>81292559</v>
      </c>
      <c r="F17" s="24">
        <f t="shared" si="0"/>
        <v>0.7601503219372319</v>
      </c>
    </row>
    <row r="18" spans="1:6" ht="15.75">
      <c r="A18" s="26" t="s">
        <v>26</v>
      </c>
      <c r="B18" s="27" t="s">
        <v>27</v>
      </c>
      <c r="C18" s="13">
        <f>'7.Táj.adatok műk.'!E14</f>
        <v>36599000</v>
      </c>
      <c r="D18" s="13">
        <f>'5.kiadás'!I242+'12.Idősek Otthona kiadás'!H73</f>
        <v>42024977</v>
      </c>
      <c r="E18" s="13">
        <f>'5.kiadás'!J242+'12.Idősek Otthona kiadás'!I73</f>
        <v>40173887</v>
      </c>
      <c r="F18" s="14">
        <f t="shared" si="0"/>
        <v>0.9559526231269562</v>
      </c>
    </row>
    <row r="19" spans="1:6" ht="15.75">
      <c r="A19" s="26" t="s">
        <v>28</v>
      </c>
      <c r="B19" s="11" t="s">
        <v>29</v>
      </c>
      <c r="C19" s="13">
        <f>'7.Táj.adatok műk.'!E15</f>
        <v>6806000</v>
      </c>
      <c r="D19" s="13">
        <f>'5.kiadás'!I243+'12.Idősek Otthona kiadás'!H74</f>
        <v>7624273</v>
      </c>
      <c r="E19" s="13">
        <f>'5.kiadás'!J243+'12.Idősek Otthona kiadás'!I74</f>
        <v>7617332</v>
      </c>
      <c r="F19" s="14">
        <f t="shared" si="0"/>
        <v>0.9990896181183438</v>
      </c>
    </row>
    <row r="20" spans="1:6" ht="15.75">
      <c r="A20" s="26" t="s">
        <v>30</v>
      </c>
      <c r="B20" s="12" t="s">
        <v>31</v>
      </c>
      <c r="C20" s="13">
        <f>'7.Táj.adatok műk.'!E16</f>
        <v>33748000</v>
      </c>
      <c r="D20" s="13">
        <f>'5.kiadás'!I244+'12.Idősek Otthona kiadás'!H75</f>
        <v>35654874</v>
      </c>
      <c r="E20" s="13">
        <f>'5.kiadás'!J244+'12.Idősek Otthona kiadás'!I75</f>
        <v>26807661</v>
      </c>
      <c r="F20" s="14">
        <f t="shared" si="0"/>
        <v>0.7518652569070922</v>
      </c>
    </row>
    <row r="21" spans="1:6" ht="15.75">
      <c r="A21" s="26" t="s">
        <v>32</v>
      </c>
      <c r="B21" s="27" t="s">
        <v>33</v>
      </c>
      <c r="C21" s="13">
        <f>'7.Táj.adatok műk.'!E17</f>
        <v>2100000</v>
      </c>
      <c r="D21" s="13">
        <f>'5.kiadás'!I245</f>
        <v>2100000</v>
      </c>
      <c r="E21" s="13">
        <f>'5.kiadás'!J245</f>
        <v>1357467</v>
      </c>
      <c r="F21" s="14">
        <f t="shared" si="0"/>
        <v>0.6464128571428571</v>
      </c>
    </row>
    <row r="22" spans="1:6" ht="15.75">
      <c r="A22" s="26" t="s">
        <v>34</v>
      </c>
      <c r="B22" s="27" t="s">
        <v>35</v>
      </c>
      <c r="C22" s="13">
        <f>'7.Táj.adatok műk.'!E18</f>
        <v>14858000</v>
      </c>
      <c r="D22" s="13">
        <f>'5.kiadás'!I246</f>
        <v>19538617</v>
      </c>
      <c r="E22" s="13">
        <f>'5.kiadás'!J246</f>
        <v>5336212</v>
      </c>
      <c r="F22" s="14">
        <f t="shared" si="0"/>
        <v>0.27311103953775234</v>
      </c>
    </row>
    <row r="23" spans="1:6" s="25" customFormat="1" ht="28.5" customHeight="1">
      <c r="A23" s="15"/>
      <c r="B23" s="15" t="s">
        <v>36</v>
      </c>
      <c r="C23" s="9">
        <f>SUM(C24:C25)</f>
        <v>10262000</v>
      </c>
      <c r="D23" s="9">
        <f>SUM(D24:D25)</f>
        <v>10598289</v>
      </c>
      <c r="E23" s="9">
        <f>SUM(E24:E25)</f>
        <v>7195901</v>
      </c>
      <c r="F23" s="10">
        <f t="shared" si="0"/>
        <v>0.6789681806185885</v>
      </c>
    </row>
    <row r="24" spans="1:6" ht="17.25" customHeight="1">
      <c r="A24" s="28" t="s">
        <v>37</v>
      </c>
      <c r="B24" s="28" t="s">
        <v>38</v>
      </c>
      <c r="C24" s="13">
        <f>'8.Táj.adatok felh.'!E12</f>
        <v>1150000</v>
      </c>
      <c r="D24" s="13">
        <f>'5.kiadás'!I247+'12.Idősek Otthona kiadás'!H76</f>
        <v>1486289</v>
      </c>
      <c r="E24" s="13">
        <f>'5.kiadás'!J247+'12.Idősek Otthona kiadás'!I76</f>
        <v>336001</v>
      </c>
      <c r="F24" s="14">
        <f t="shared" si="0"/>
        <v>0.2260670704015168</v>
      </c>
    </row>
    <row r="25" spans="1:6" ht="15.75">
      <c r="A25" s="26" t="s">
        <v>39</v>
      </c>
      <c r="B25" s="27" t="s">
        <v>40</v>
      </c>
      <c r="C25" s="13">
        <f>'8.Táj.adatok felh.'!E13</f>
        <v>9112000</v>
      </c>
      <c r="D25" s="13">
        <f>'5.kiadás'!I248</f>
        <v>9112000</v>
      </c>
      <c r="E25" s="13">
        <f>'5.kiadás'!J248</f>
        <v>6859900</v>
      </c>
      <c r="F25" s="14">
        <f t="shared" si="0"/>
        <v>0.752842405618964</v>
      </c>
    </row>
    <row r="26" spans="1:6" s="25" customFormat="1" ht="27" customHeight="1">
      <c r="A26" s="29" t="s">
        <v>41</v>
      </c>
      <c r="B26" s="30" t="s">
        <v>42</v>
      </c>
      <c r="C26" s="9">
        <f>'7.Táj.adatok műk.'!E19</f>
        <v>3450000</v>
      </c>
      <c r="D26" s="9">
        <f>'5.kiadás'!I249-'11.Idősek Otthona bevétel'!G23</f>
        <v>3984551</v>
      </c>
      <c r="E26" s="9">
        <f>'5.kiadás'!J249-24489819</f>
        <v>3722214</v>
      </c>
      <c r="F26" s="10">
        <f t="shared" si="0"/>
        <v>0.9341614651186545</v>
      </c>
    </row>
    <row r="27" spans="1:6" s="25" customFormat="1" ht="28.5" customHeight="1">
      <c r="A27" s="31"/>
      <c r="B27" s="32" t="s">
        <v>43</v>
      </c>
      <c r="C27" s="19">
        <f>SUM(C17+C23+C26)</f>
        <v>107823000</v>
      </c>
      <c r="D27" s="19">
        <f>SUM(D17+D23+D26)</f>
        <v>121525581</v>
      </c>
      <c r="E27" s="19">
        <f>SUM(E17+E23+E26)</f>
        <v>92210674</v>
      </c>
      <c r="F27" s="33">
        <f t="shared" si="0"/>
        <v>0.7587758333778302</v>
      </c>
    </row>
  </sheetData>
  <sheetProtection selectLockedCells="1" selectUnlockedCells="1"/>
  <mergeCells count="5">
    <mergeCell ref="A2:C2"/>
    <mergeCell ref="A3:F3"/>
    <mergeCell ref="A4:F4"/>
    <mergeCell ref="A6:B7"/>
    <mergeCell ref="A1:F1"/>
  </mergeCells>
  <printOptions gridLines="1" headings="1"/>
  <pageMargins left="0.7479166666666667" right="0.7479166666666667" top="0.9840277777777777" bottom="0.9840277777777777" header="0.5118055555555555" footer="0.5118055555555555"/>
  <pageSetup horizontalDpi="600" verticalDpi="600" orientation="portrait" paperSize="9" scale="6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2"/>
  <sheetViews>
    <sheetView zoomScaleSheetLayoutView="110" zoomScalePageLayoutView="0" workbookViewId="0" topLeftCell="A1">
      <selection activeCell="A1" sqref="A1:E1"/>
    </sheetView>
  </sheetViews>
  <sheetFormatPr defaultColWidth="9.140625" defaultRowHeight="12.75"/>
  <cols>
    <col min="1" max="1" width="57.140625" style="265" customWidth="1"/>
    <col min="2" max="3" width="18.00390625" style="265" customWidth="1"/>
    <col min="4" max="4" width="16.28125" style="265" customWidth="1"/>
    <col min="5" max="5" width="17.28125" style="265" customWidth="1"/>
    <col min="6" max="16384" width="9.140625" style="265" customWidth="1"/>
  </cols>
  <sheetData>
    <row r="1" spans="1:5" ht="15.75">
      <c r="A1" s="487" t="s">
        <v>582</v>
      </c>
      <c r="B1" s="487"/>
      <c r="C1" s="487"/>
      <c r="D1" s="487"/>
      <c r="E1" s="487"/>
    </row>
    <row r="2" spans="1:2" s="266" customFormat="1" ht="15.75">
      <c r="A2" s="487"/>
      <c r="B2" s="487"/>
    </row>
    <row r="3" spans="1:5" s="267" customFormat="1" ht="21" customHeight="1">
      <c r="A3" s="488" t="s">
        <v>0</v>
      </c>
      <c r="B3" s="488"/>
      <c r="C3" s="488"/>
      <c r="D3" s="488"/>
      <c r="E3" s="488"/>
    </row>
    <row r="4" spans="1:5" s="267" customFormat="1" ht="23.25" customHeight="1">
      <c r="A4" s="488" t="s">
        <v>303</v>
      </c>
      <c r="B4" s="488"/>
      <c r="C4" s="488"/>
      <c r="D4" s="488"/>
      <c r="E4" s="488"/>
    </row>
    <row r="5" spans="1:3" s="267" customFormat="1" ht="23.25" customHeight="1">
      <c r="A5" s="268"/>
      <c r="B5" s="268"/>
      <c r="C5" s="268"/>
    </row>
    <row r="6" spans="1:5" s="267" customFormat="1" ht="15.75" customHeight="1">
      <c r="A6" s="489" t="s">
        <v>272</v>
      </c>
      <c r="B6" s="269" t="s">
        <v>47</v>
      </c>
      <c r="C6" s="269" t="s">
        <v>47</v>
      </c>
      <c r="D6" s="490" t="s">
        <v>298</v>
      </c>
      <c r="E6" s="486" t="s">
        <v>299</v>
      </c>
    </row>
    <row r="7" spans="1:5" s="267" customFormat="1" ht="39" customHeight="1">
      <c r="A7" s="489"/>
      <c r="B7" s="270" t="s">
        <v>6</v>
      </c>
      <c r="C7" s="270" t="s">
        <v>7</v>
      </c>
      <c r="D7" s="490"/>
      <c r="E7" s="486"/>
    </row>
    <row r="8" spans="1:5" s="267" customFormat="1" ht="23.25" customHeight="1">
      <c r="A8" s="271" t="s">
        <v>222</v>
      </c>
      <c r="B8" s="272">
        <f>SUM(B9)</f>
        <v>750000</v>
      </c>
      <c r="C8" s="272">
        <f>SUM(C9)</f>
        <v>750000</v>
      </c>
      <c r="D8" s="272">
        <f>SUM(D9)</f>
        <v>749360</v>
      </c>
      <c r="E8" s="273">
        <f>D8/C8</f>
        <v>0.9991466666666666</v>
      </c>
    </row>
    <row r="9" spans="1:5" s="276" customFormat="1" ht="23.25" customHeight="1">
      <c r="A9" s="274" t="s">
        <v>304</v>
      </c>
      <c r="B9" s="275">
        <v>750000</v>
      </c>
      <c r="C9" s="275">
        <v>750000</v>
      </c>
      <c r="D9" s="275">
        <v>749360</v>
      </c>
      <c r="E9" s="273">
        <f>D9/C9</f>
        <v>0.9991466666666666</v>
      </c>
    </row>
    <row r="10" spans="1:5" s="276" customFormat="1" ht="23.25" customHeight="1">
      <c r="A10" s="271" t="s">
        <v>231</v>
      </c>
      <c r="B10" s="272">
        <f>SUM(B11)</f>
        <v>400000</v>
      </c>
      <c r="C10" s="272">
        <f>SUM(C11)</f>
        <v>400000</v>
      </c>
      <c r="D10" s="272">
        <f>SUM(D11)</f>
        <v>0</v>
      </c>
      <c r="E10" s="273"/>
    </row>
    <row r="11" spans="1:5" s="276" customFormat="1" ht="23.25" customHeight="1">
      <c r="A11" s="274" t="s">
        <v>305</v>
      </c>
      <c r="B11" s="275">
        <v>400000</v>
      </c>
      <c r="C11" s="275">
        <v>400000</v>
      </c>
      <c r="D11" s="275">
        <v>0</v>
      </c>
      <c r="E11" s="273"/>
    </row>
    <row r="12" spans="1:5" s="280" customFormat="1" ht="26.25" customHeight="1">
      <c r="A12" s="277" t="s">
        <v>306</v>
      </c>
      <c r="B12" s="278">
        <f>SUM(B8,B10)</f>
        <v>1150000</v>
      </c>
      <c r="C12" s="278">
        <f>SUM(C8,C10)</f>
        <v>1150000</v>
      </c>
      <c r="D12" s="278">
        <f>SUM(D8,D10)</f>
        <v>749360</v>
      </c>
      <c r="E12" s="279">
        <f>D12/C12</f>
        <v>0.6516173913043478</v>
      </c>
    </row>
    <row r="13" s="266" customFormat="1" ht="12.75"/>
    <row r="14" s="266" customFormat="1" ht="12.75"/>
    <row r="15" s="266" customFormat="1" ht="12.75"/>
  </sheetData>
  <sheetProtection selectLockedCells="1" selectUnlockedCells="1"/>
  <mergeCells count="7">
    <mergeCell ref="A2:B2"/>
    <mergeCell ref="A3:E3"/>
    <mergeCell ref="A4:E4"/>
    <mergeCell ref="A6:A7"/>
    <mergeCell ref="D6:D7"/>
    <mergeCell ref="E6:E7"/>
    <mergeCell ref="A1:E1"/>
  </mergeCells>
  <printOptions gridLines="1" headings="1"/>
  <pageMargins left="0.75" right="0.75" top="1" bottom="1" header="0.5118055555555555" footer="0.5118055555555555"/>
  <pageSetup horizontalDpi="300" verticalDpi="300" orientation="portrait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8"/>
  <sheetViews>
    <sheetView zoomScaleSheetLayoutView="110" zoomScalePageLayoutView="0" workbookViewId="0" topLeftCell="A1">
      <selection activeCell="A1" sqref="A1:I1"/>
    </sheetView>
  </sheetViews>
  <sheetFormatPr defaultColWidth="9.140625" defaultRowHeight="12.75"/>
  <cols>
    <col min="1" max="1" width="4.00390625" style="2" customWidth="1"/>
    <col min="2" max="2" width="5.140625" style="2" customWidth="1"/>
    <col min="3" max="3" width="6.421875" style="2" customWidth="1"/>
    <col min="4" max="4" width="2.57421875" style="2" customWidth="1"/>
    <col min="5" max="5" width="62.140625" style="2" customWidth="1"/>
    <col min="6" max="6" width="17.00390625" style="2" customWidth="1"/>
    <col min="7" max="7" width="17.8515625" style="2" customWidth="1"/>
    <col min="8" max="8" width="16.28125" style="16" customWidth="1"/>
    <col min="9" max="9" width="17.28125" style="16" customWidth="1"/>
    <col min="10" max="10" width="12.00390625" style="16" customWidth="1"/>
    <col min="11" max="11" width="9.140625" style="281" customWidth="1"/>
    <col min="12" max="16384" width="9.140625" style="2" customWidth="1"/>
  </cols>
  <sheetData>
    <row r="1" spans="1:9" ht="18.75" customHeight="1">
      <c r="A1" s="471" t="s">
        <v>583</v>
      </c>
      <c r="B1" s="471"/>
      <c r="C1" s="471"/>
      <c r="D1" s="471"/>
      <c r="E1" s="471"/>
      <c r="F1" s="471"/>
      <c r="G1" s="471"/>
      <c r="H1" s="471"/>
      <c r="I1" s="471"/>
    </row>
    <row r="2" spans="1:6" s="449" customFormat="1" ht="16.5" customHeight="1">
      <c r="A2" s="471"/>
      <c r="B2" s="471"/>
      <c r="C2" s="471"/>
      <c r="D2" s="471"/>
      <c r="E2" s="471"/>
      <c r="F2" s="471"/>
    </row>
    <row r="3" spans="1:11" ht="24.75" customHeight="1">
      <c r="A3" s="464" t="s">
        <v>307</v>
      </c>
      <c r="B3" s="464"/>
      <c r="C3" s="464"/>
      <c r="D3" s="464"/>
      <c r="E3" s="464"/>
      <c r="F3" s="464"/>
      <c r="G3" s="26"/>
      <c r="H3" s="26"/>
      <c r="I3" s="282"/>
      <c r="J3" s="2"/>
      <c r="K3" s="2"/>
    </row>
    <row r="4" spans="1:11" ht="24.75" customHeight="1">
      <c r="A4" s="464" t="s">
        <v>308</v>
      </c>
      <c r="B4" s="464"/>
      <c r="C4" s="464"/>
      <c r="D4" s="464"/>
      <c r="E4" s="464"/>
      <c r="F4" s="464"/>
      <c r="G4" s="26"/>
      <c r="H4" s="26"/>
      <c r="I4" s="282"/>
      <c r="J4" s="2"/>
      <c r="K4" s="2"/>
    </row>
    <row r="5" spans="1:11" ht="10.5" customHeight="1">
      <c r="A5" s="39"/>
      <c r="B5" s="39"/>
      <c r="C5" s="39"/>
      <c r="D5" s="39"/>
      <c r="E5" s="39"/>
      <c r="F5" s="39"/>
      <c r="G5" s="39"/>
      <c r="H5" s="26"/>
      <c r="I5" s="282"/>
      <c r="J5" s="2"/>
      <c r="K5" s="2"/>
    </row>
    <row r="6" spans="1:11" ht="39" customHeight="1">
      <c r="A6" s="466" t="s">
        <v>46</v>
      </c>
      <c r="B6" s="466"/>
      <c r="C6" s="466"/>
      <c r="D6" s="466"/>
      <c r="E6" s="466"/>
      <c r="F6" s="97" t="s">
        <v>47</v>
      </c>
      <c r="G6" s="97" t="s">
        <v>47</v>
      </c>
      <c r="H6" s="47" t="s">
        <v>4</v>
      </c>
      <c r="I6" s="48" t="s">
        <v>5</v>
      </c>
      <c r="J6" s="2"/>
      <c r="K6" s="2"/>
    </row>
    <row r="7" spans="1:9" s="8" customFormat="1" ht="26.25" customHeight="1">
      <c r="A7" s="466"/>
      <c r="B7" s="466"/>
      <c r="C7" s="466"/>
      <c r="D7" s="466"/>
      <c r="E7" s="466"/>
      <c r="F7" s="97" t="s">
        <v>6</v>
      </c>
      <c r="G7" s="97" t="s">
        <v>7</v>
      </c>
      <c r="H7" s="48" t="s">
        <v>8</v>
      </c>
      <c r="I7" s="48" t="s">
        <v>9</v>
      </c>
    </row>
    <row r="8" spans="1:9" s="286" customFormat="1" ht="26.25" customHeight="1">
      <c r="A8" s="492" t="s">
        <v>309</v>
      </c>
      <c r="B8" s="492"/>
      <c r="C8" s="492"/>
      <c r="D8" s="492"/>
      <c r="E8" s="492"/>
      <c r="F8" s="283">
        <f>SUM(F9,F13)</f>
        <v>46091000</v>
      </c>
      <c r="G8" s="283">
        <f>SUM(G9,G13)</f>
        <v>22800807</v>
      </c>
      <c r="H8" s="284">
        <f>SUM(H9,H13)</f>
        <v>22188893</v>
      </c>
      <c r="I8" s="285">
        <f>H8/G8</f>
        <v>0.9731626165687908</v>
      </c>
    </row>
    <row r="9" spans="1:11" s="178" customFormat="1" ht="15.75">
      <c r="A9" s="178" t="s">
        <v>15</v>
      </c>
      <c r="B9" s="287" t="s">
        <v>16</v>
      </c>
      <c r="C9" s="287"/>
      <c r="D9" s="287"/>
      <c r="E9" s="288"/>
      <c r="F9" s="289">
        <f>SUM(F10:F11)</f>
        <v>22800807</v>
      </c>
      <c r="G9" s="289">
        <f>SUM(G10:G12)</f>
        <v>22800807</v>
      </c>
      <c r="H9" s="296">
        <f>SUM(H10:H12)</f>
        <v>22188893</v>
      </c>
      <c r="I9" s="290">
        <f>H9/G9</f>
        <v>0.9731626165687908</v>
      </c>
      <c r="J9" s="56"/>
      <c r="K9" s="291"/>
    </row>
    <row r="10" spans="3:12" ht="15.75">
      <c r="C10" s="2" t="s">
        <v>310</v>
      </c>
      <c r="D10" s="2" t="s">
        <v>311</v>
      </c>
      <c r="E10" s="292"/>
      <c r="F10" s="293">
        <v>22800000</v>
      </c>
      <c r="G10" s="293">
        <v>22800000</v>
      </c>
      <c r="H10" s="294">
        <v>22188887</v>
      </c>
      <c r="I10" s="290">
        <f>H10/G10</f>
        <v>0.973196798245614</v>
      </c>
      <c r="J10" s="59"/>
      <c r="K10" s="59"/>
      <c r="L10" s="281"/>
    </row>
    <row r="11" spans="3:12" ht="15.75">
      <c r="C11" s="2" t="s">
        <v>54</v>
      </c>
      <c r="D11" s="2" t="s">
        <v>55</v>
      </c>
      <c r="E11" s="292"/>
      <c r="F11" s="293">
        <v>807</v>
      </c>
      <c r="G11" s="293">
        <v>807</v>
      </c>
      <c r="H11" s="294">
        <v>1</v>
      </c>
      <c r="I11" s="290">
        <f>H11/G11</f>
        <v>0.0012391573729863693</v>
      </c>
      <c r="J11" s="59"/>
      <c r="K11" s="59"/>
      <c r="L11" s="281"/>
    </row>
    <row r="12" spans="3:12" ht="15.75">
      <c r="C12" s="2" t="s">
        <v>56</v>
      </c>
      <c r="D12" s="2" t="s">
        <v>57</v>
      </c>
      <c r="E12" s="292"/>
      <c r="F12" s="293">
        <v>0</v>
      </c>
      <c r="G12" s="293">
        <v>0</v>
      </c>
      <c r="H12" s="294">
        <v>5</v>
      </c>
      <c r="I12" s="295" t="s">
        <v>312</v>
      </c>
      <c r="J12" s="59"/>
      <c r="K12" s="59"/>
      <c r="L12" s="281"/>
    </row>
    <row r="13" spans="1:11" s="178" customFormat="1" ht="15.75">
      <c r="A13" s="178" t="s">
        <v>22</v>
      </c>
      <c r="B13" s="287" t="s">
        <v>23</v>
      </c>
      <c r="C13" s="287"/>
      <c r="D13" s="287"/>
      <c r="E13" s="288"/>
      <c r="F13" s="289">
        <f>SUM(F14)</f>
        <v>23290193</v>
      </c>
      <c r="G13" s="289">
        <f>SUM(G14)</f>
        <v>0</v>
      </c>
      <c r="H13" s="296">
        <f>SUM(H14)</f>
        <v>0</v>
      </c>
      <c r="I13" s="290">
        <v>0</v>
      </c>
      <c r="J13" s="56"/>
      <c r="K13" s="291"/>
    </row>
    <row r="14" spans="2:10" ht="15.75">
      <c r="B14" s="2" t="s">
        <v>61</v>
      </c>
      <c r="D14" s="2" t="s">
        <v>62</v>
      </c>
      <c r="E14" s="292"/>
      <c r="F14" s="297">
        <f>SUM(F17+F15)</f>
        <v>23290193</v>
      </c>
      <c r="G14" s="297">
        <f>SUM(G17+G15)</f>
        <v>0</v>
      </c>
      <c r="H14" s="298">
        <f>SUM(H17+H15)</f>
        <v>0</v>
      </c>
      <c r="I14" s="290">
        <v>0</v>
      </c>
      <c r="J14" s="59"/>
    </row>
    <row r="15" spans="3:10" ht="15.75">
      <c r="C15" s="2" t="s">
        <v>63</v>
      </c>
      <c r="D15" s="2" t="s">
        <v>64</v>
      </c>
      <c r="E15" s="292"/>
      <c r="F15" s="293">
        <f>F16</f>
        <v>2658193</v>
      </c>
      <c r="G15" s="293">
        <v>0</v>
      </c>
      <c r="H15" s="294">
        <v>0</v>
      </c>
      <c r="I15" s="290">
        <v>0</v>
      </c>
      <c r="J15" s="59"/>
    </row>
    <row r="16" spans="3:10" ht="15.75">
      <c r="C16" s="2" t="s">
        <v>65</v>
      </c>
      <c r="E16" s="292" t="s">
        <v>66</v>
      </c>
      <c r="F16" s="299">
        <v>2658193</v>
      </c>
      <c r="G16" s="299">
        <v>0</v>
      </c>
      <c r="H16" s="300">
        <v>0</v>
      </c>
      <c r="I16" s="290">
        <v>0</v>
      </c>
      <c r="J16" s="59"/>
    </row>
    <row r="17" spans="3:10" ht="15.75">
      <c r="C17" s="2" t="s">
        <v>313</v>
      </c>
      <c r="D17" s="2" t="s">
        <v>314</v>
      </c>
      <c r="E17" s="292"/>
      <c r="F17" s="293">
        <v>20632000</v>
      </c>
      <c r="G17" s="293">
        <v>0</v>
      </c>
      <c r="H17" s="294">
        <v>0</v>
      </c>
      <c r="I17" s="290">
        <v>0</v>
      </c>
      <c r="J17" s="59"/>
    </row>
    <row r="18" spans="1:9" s="286" customFormat="1" ht="26.25" customHeight="1">
      <c r="A18" s="491" t="s">
        <v>315</v>
      </c>
      <c r="B18" s="491"/>
      <c r="C18" s="491"/>
      <c r="D18" s="491"/>
      <c r="E18" s="491"/>
      <c r="F18" s="289">
        <f>F19</f>
        <v>0</v>
      </c>
      <c r="G18" s="289">
        <f>G19</f>
        <v>27670287</v>
      </c>
      <c r="H18" s="296">
        <f>H19</f>
        <v>27148012</v>
      </c>
      <c r="I18" s="290">
        <f aca="true" t="shared" si="0" ref="I18:I27">H18/G18</f>
        <v>0.9811250602496461</v>
      </c>
    </row>
    <row r="19" spans="1:11" s="178" customFormat="1" ht="15.75">
      <c r="A19" s="178" t="s">
        <v>22</v>
      </c>
      <c r="B19" s="287" t="s">
        <v>23</v>
      </c>
      <c r="C19" s="287"/>
      <c r="D19" s="287"/>
      <c r="E19" s="288"/>
      <c r="F19" s="289">
        <f>SUM(F20)</f>
        <v>0</v>
      </c>
      <c r="G19" s="289">
        <f>SUM(G20)</f>
        <v>27670287</v>
      </c>
      <c r="H19" s="296">
        <f>SUM(H20)</f>
        <v>27148012</v>
      </c>
      <c r="I19" s="290">
        <f t="shared" si="0"/>
        <v>0.9811250602496461</v>
      </c>
      <c r="J19" s="56"/>
      <c r="K19" s="291"/>
    </row>
    <row r="20" spans="2:10" ht="15.75">
      <c r="B20" s="2" t="s">
        <v>61</v>
      </c>
      <c r="D20" s="2" t="s">
        <v>62</v>
      </c>
      <c r="E20" s="292"/>
      <c r="F20" s="297">
        <f>SUM(F23+F21)</f>
        <v>0</v>
      </c>
      <c r="G20" s="297">
        <f>SUM(G23+G21)</f>
        <v>27670287</v>
      </c>
      <c r="H20" s="298">
        <f>SUM(H23+H21)</f>
        <v>27148012</v>
      </c>
      <c r="I20" s="290">
        <f t="shared" si="0"/>
        <v>0.9811250602496461</v>
      </c>
      <c r="J20" s="59"/>
    </row>
    <row r="21" spans="3:10" ht="15.75">
      <c r="C21" s="2" t="s">
        <v>63</v>
      </c>
      <c r="D21" s="2" t="s">
        <v>64</v>
      </c>
      <c r="E21" s="292"/>
      <c r="F21" s="293">
        <v>0</v>
      </c>
      <c r="G21" s="293">
        <f>G22</f>
        <v>2658193</v>
      </c>
      <c r="H21" s="294">
        <f>H22</f>
        <v>2658193</v>
      </c>
      <c r="I21" s="290">
        <f t="shared" si="0"/>
        <v>1</v>
      </c>
      <c r="J21" s="59"/>
    </row>
    <row r="22" spans="3:10" ht="15.75">
      <c r="C22" s="2" t="s">
        <v>65</v>
      </c>
      <c r="E22" s="292" t="s">
        <v>66</v>
      </c>
      <c r="F22" s="299">
        <v>0</v>
      </c>
      <c r="G22" s="299">
        <v>2658193</v>
      </c>
      <c r="H22" s="300">
        <v>2658193</v>
      </c>
      <c r="I22" s="290">
        <f t="shared" si="0"/>
        <v>1</v>
      </c>
      <c r="J22" s="59"/>
    </row>
    <row r="23" spans="1:10" ht="15.75">
      <c r="A23" s="301"/>
      <c r="B23" s="301"/>
      <c r="C23" s="301" t="s">
        <v>313</v>
      </c>
      <c r="D23" s="301" t="s">
        <v>314</v>
      </c>
      <c r="E23" s="302"/>
      <c r="F23" s="303">
        <v>0</v>
      </c>
      <c r="G23" s="303">
        <v>25012094</v>
      </c>
      <c r="H23" s="455">
        <v>24489819</v>
      </c>
      <c r="I23" s="304">
        <f t="shared" si="0"/>
        <v>0.9791191013435341</v>
      </c>
      <c r="J23" s="59"/>
    </row>
    <row r="24" spans="1:9" s="286" customFormat="1" ht="26.25" customHeight="1">
      <c r="A24" s="492" t="s">
        <v>316</v>
      </c>
      <c r="B24" s="492"/>
      <c r="C24" s="492"/>
      <c r="D24" s="492"/>
      <c r="E24" s="492"/>
      <c r="F24" s="305"/>
      <c r="G24" s="456">
        <f>SUM(G25)</f>
        <v>1155267</v>
      </c>
      <c r="H24" s="457">
        <f>SUM(H25)</f>
        <v>1244746</v>
      </c>
      <c r="I24" s="306">
        <f t="shared" si="0"/>
        <v>1.077453090930495</v>
      </c>
    </row>
    <row r="25" spans="1:9" s="178" customFormat="1" ht="15.75">
      <c r="A25" s="307" t="s">
        <v>11</v>
      </c>
      <c r="B25" s="178" t="s">
        <v>12</v>
      </c>
      <c r="D25" s="308"/>
      <c r="E25" s="147"/>
      <c r="F25" s="309"/>
      <c r="G25" s="309">
        <f>SUM(G26)</f>
        <v>1155267</v>
      </c>
      <c r="H25" s="310">
        <f>SUM(H26)</f>
        <v>1244746</v>
      </c>
      <c r="I25" s="290">
        <f t="shared" si="0"/>
        <v>1.077453090930495</v>
      </c>
    </row>
    <row r="26" spans="1:11" ht="15.75">
      <c r="A26" s="78"/>
      <c r="B26" s="311" t="s">
        <v>117</v>
      </c>
      <c r="C26" s="2" t="s">
        <v>118</v>
      </c>
      <c r="D26" s="8"/>
      <c r="E26" s="312"/>
      <c r="F26" s="313"/>
      <c r="G26" s="313">
        <v>1155267</v>
      </c>
      <c r="H26" s="314">
        <v>1244746</v>
      </c>
      <c r="I26" s="290">
        <f t="shared" si="0"/>
        <v>1.077453090930495</v>
      </c>
      <c r="J26" s="2"/>
      <c r="K26" s="2"/>
    </row>
    <row r="27" spans="1:11" s="178" customFormat="1" ht="30.75" customHeight="1">
      <c r="A27" s="315" t="s">
        <v>121</v>
      </c>
      <c r="B27" s="316"/>
      <c r="C27" s="316"/>
      <c r="D27" s="316"/>
      <c r="E27" s="317"/>
      <c r="F27" s="318">
        <f>SUM(F8+F24)</f>
        <v>46091000</v>
      </c>
      <c r="G27" s="318">
        <f>SUM(G8+G18+G24)</f>
        <v>51626361</v>
      </c>
      <c r="H27" s="319">
        <f>SUM(H8+H18+H24)</f>
        <v>50581651</v>
      </c>
      <c r="I27" s="320">
        <f t="shared" si="0"/>
        <v>0.9797640201679139</v>
      </c>
      <c r="J27" s="52"/>
      <c r="K27" s="291"/>
    </row>
    <row r="28" spans="7:9" ht="15.75">
      <c r="G28" s="453"/>
      <c r="I28" s="321"/>
    </row>
  </sheetData>
  <sheetProtection selectLockedCells="1" selectUnlockedCells="1"/>
  <mergeCells count="8">
    <mergeCell ref="A18:E18"/>
    <mergeCell ref="A24:E24"/>
    <mergeCell ref="A2:F2"/>
    <mergeCell ref="A3:F3"/>
    <mergeCell ref="A4:F4"/>
    <mergeCell ref="A6:E7"/>
    <mergeCell ref="A8:E8"/>
    <mergeCell ref="A1:I1"/>
  </mergeCells>
  <printOptions gridLines="1" headings="1"/>
  <pageMargins left="0.7" right="0.7" top="0.75" bottom="0.75" header="0.5118055555555555" footer="0.5118055555555555"/>
  <pageSetup horizontalDpi="300" verticalDpi="300" orientation="portrait" paperSize="9" scale="5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77"/>
  <sheetViews>
    <sheetView zoomScaleSheetLayoutView="110" zoomScalePageLayoutView="0" workbookViewId="0" topLeftCell="A1">
      <selection activeCell="A1" sqref="A1:J1"/>
    </sheetView>
  </sheetViews>
  <sheetFormatPr defaultColWidth="9.140625" defaultRowHeight="12.75"/>
  <cols>
    <col min="1" max="1" width="4.28125" style="449" customWidth="1"/>
    <col min="2" max="2" width="5.421875" style="449" customWidth="1"/>
    <col min="3" max="3" width="8.140625" style="449" customWidth="1"/>
    <col min="4" max="4" width="3.28125" style="449" customWidth="1"/>
    <col min="5" max="5" width="52.421875" style="449" customWidth="1"/>
    <col min="6" max="6" width="9.57421875" style="449" customWidth="1"/>
    <col min="7" max="9" width="16.28125" style="449" customWidth="1"/>
    <col min="10" max="10" width="18.57421875" style="449" customWidth="1"/>
    <col min="11" max="11" width="16.28125" style="449" customWidth="1"/>
    <col min="12" max="12" width="9.140625" style="449" customWidth="1"/>
    <col min="13" max="14" width="11.8515625" style="449" customWidth="1"/>
    <col min="15" max="16384" width="9.140625" style="449" customWidth="1"/>
  </cols>
  <sheetData>
    <row r="1" spans="1:10" ht="15.75">
      <c r="A1" s="471" t="s">
        <v>584</v>
      </c>
      <c r="B1" s="471"/>
      <c r="C1" s="471"/>
      <c r="D1" s="471"/>
      <c r="E1" s="471"/>
      <c r="F1" s="471"/>
      <c r="G1" s="471"/>
      <c r="H1" s="471"/>
      <c r="I1" s="471"/>
      <c r="J1" s="471"/>
    </row>
    <row r="2" spans="1:7" ht="16.5" customHeight="1">
      <c r="A2" s="471"/>
      <c r="B2" s="471"/>
      <c r="C2" s="471"/>
      <c r="D2" s="471"/>
      <c r="E2" s="471"/>
      <c r="F2" s="471"/>
      <c r="G2" s="471"/>
    </row>
    <row r="3" spans="1:7" ht="26.25" customHeight="1">
      <c r="A3" s="494" t="s">
        <v>307</v>
      </c>
      <c r="B3" s="494"/>
      <c r="C3" s="494"/>
      <c r="D3" s="494"/>
      <c r="E3" s="494"/>
      <c r="F3" s="494"/>
      <c r="G3" s="494"/>
    </row>
    <row r="4" spans="1:7" s="286" customFormat="1" ht="27.75" customHeight="1">
      <c r="A4" s="495" t="s">
        <v>317</v>
      </c>
      <c r="B4" s="495"/>
      <c r="C4" s="495"/>
      <c r="D4" s="495"/>
      <c r="E4" s="495"/>
      <c r="F4" s="495"/>
      <c r="G4" s="495"/>
    </row>
    <row r="5" spans="1:11" s="286" customFormat="1" ht="39" customHeight="1">
      <c r="A5" s="496" t="s">
        <v>46</v>
      </c>
      <c r="B5" s="496"/>
      <c r="C5" s="496"/>
      <c r="D5" s="496"/>
      <c r="E5" s="496"/>
      <c r="F5" s="497" t="s">
        <v>318</v>
      </c>
      <c r="G5" s="47" t="s">
        <v>47</v>
      </c>
      <c r="H5" s="47" t="s">
        <v>47</v>
      </c>
      <c r="I5" s="47" t="s">
        <v>4</v>
      </c>
      <c r="J5" s="48" t="s">
        <v>5</v>
      </c>
      <c r="K5" s="322"/>
    </row>
    <row r="6" spans="1:11" s="286" customFormat="1" ht="33.75" customHeight="1">
      <c r="A6" s="496"/>
      <c r="B6" s="496"/>
      <c r="C6" s="496"/>
      <c r="D6" s="496"/>
      <c r="E6" s="496"/>
      <c r="F6" s="497"/>
      <c r="G6" s="47" t="s">
        <v>6</v>
      </c>
      <c r="H6" s="47" t="s">
        <v>7</v>
      </c>
      <c r="I6" s="47" t="s">
        <v>8</v>
      </c>
      <c r="J6" s="47" t="s">
        <v>9</v>
      </c>
      <c r="K6" s="322"/>
    </row>
    <row r="7" spans="1:11" s="286" customFormat="1" ht="26.25" customHeight="1">
      <c r="A7" s="492" t="s">
        <v>309</v>
      </c>
      <c r="B7" s="492"/>
      <c r="C7" s="492"/>
      <c r="D7" s="492"/>
      <c r="E7" s="492"/>
      <c r="F7" s="305">
        <v>8</v>
      </c>
      <c r="G7" s="323">
        <f>SUM(G8+G15+G18)</f>
        <v>46091000</v>
      </c>
      <c r="H7" s="323">
        <f>SUM(H8+H15+H18+H52)</f>
        <v>50533027</v>
      </c>
      <c r="I7" s="324">
        <f>SUM(I8+I15+I18+I52)</f>
        <v>48776254</v>
      </c>
      <c r="J7" s="325">
        <f aca="true" t="shared" si="0" ref="J7:J16">I7/H7</f>
        <v>0.965235152052142</v>
      </c>
      <c r="K7" s="326"/>
    </row>
    <row r="8" spans="1:14" s="52" customFormat="1" ht="15.75">
      <c r="A8" s="52" t="s">
        <v>26</v>
      </c>
      <c r="B8" s="78" t="s">
        <v>141</v>
      </c>
      <c r="C8" s="78"/>
      <c r="D8" s="78"/>
      <c r="E8" s="143"/>
      <c r="F8" s="143"/>
      <c r="G8" s="108">
        <f>SUM(G9)</f>
        <v>23840000</v>
      </c>
      <c r="H8" s="108">
        <f>SUM(H9)</f>
        <v>26142913</v>
      </c>
      <c r="I8" s="331">
        <f>SUM(I9)</f>
        <v>25573628</v>
      </c>
      <c r="J8" s="327">
        <f t="shared" si="0"/>
        <v>0.9782241175648636</v>
      </c>
      <c r="K8" s="84"/>
      <c r="M8" s="54"/>
      <c r="N8" s="54"/>
    </row>
    <row r="9" spans="2:11" s="16" customFormat="1" ht="15.75">
      <c r="B9" s="79" t="s">
        <v>142</v>
      </c>
      <c r="C9" s="79"/>
      <c r="D9" s="79" t="s">
        <v>143</v>
      </c>
      <c r="E9" s="146"/>
      <c r="F9" s="146"/>
      <c r="G9" s="107">
        <f>SUM(G10:G14)</f>
        <v>23840000</v>
      </c>
      <c r="H9" s="107">
        <f>SUM(H10:H14)</f>
        <v>26142913</v>
      </c>
      <c r="I9" s="328">
        <f>SUM(I10:I14)</f>
        <v>25573628</v>
      </c>
      <c r="J9" s="327">
        <f t="shared" si="0"/>
        <v>0.9782241175648636</v>
      </c>
      <c r="K9" s="85"/>
    </row>
    <row r="10" spans="2:11" s="16" customFormat="1" ht="15.75">
      <c r="B10" s="79"/>
      <c r="C10" s="79" t="s">
        <v>144</v>
      </c>
      <c r="D10" s="79" t="s">
        <v>145</v>
      </c>
      <c r="E10" s="146"/>
      <c r="F10" s="146"/>
      <c r="G10" s="152">
        <v>22930000</v>
      </c>
      <c r="H10" s="152">
        <v>23561836</v>
      </c>
      <c r="I10" s="153">
        <v>22992551</v>
      </c>
      <c r="J10" s="327">
        <f t="shared" si="0"/>
        <v>0.9758386825203265</v>
      </c>
      <c r="K10" s="153"/>
    </row>
    <row r="11" spans="2:11" s="16" customFormat="1" ht="15.75">
      <c r="B11" s="79"/>
      <c r="C11" s="79" t="s">
        <v>146</v>
      </c>
      <c r="D11" s="79" t="s">
        <v>147</v>
      </c>
      <c r="E11" s="146"/>
      <c r="F11" s="146"/>
      <c r="G11" s="152"/>
      <c r="H11" s="152">
        <v>337558</v>
      </c>
      <c r="I11" s="153">
        <v>337558</v>
      </c>
      <c r="J11" s="327">
        <f t="shared" si="0"/>
        <v>1</v>
      </c>
      <c r="K11" s="153"/>
    </row>
    <row r="12" spans="2:11" s="16" customFormat="1" ht="15.75">
      <c r="B12" s="79"/>
      <c r="C12" s="79" t="s">
        <v>319</v>
      </c>
      <c r="D12" s="79" t="s">
        <v>320</v>
      </c>
      <c r="E12" s="146"/>
      <c r="F12" s="146"/>
      <c r="G12" s="152">
        <v>300000</v>
      </c>
      <c r="H12" s="152">
        <v>645441</v>
      </c>
      <c r="I12" s="153">
        <v>645441</v>
      </c>
      <c r="J12" s="327">
        <f t="shared" si="0"/>
        <v>1</v>
      </c>
      <c r="K12" s="153"/>
    </row>
    <row r="13" spans="2:11" s="16" customFormat="1" ht="15.75">
      <c r="B13" s="79"/>
      <c r="C13" s="79" t="s">
        <v>321</v>
      </c>
      <c r="D13" s="79" t="s">
        <v>322</v>
      </c>
      <c r="E13" s="146"/>
      <c r="F13" s="146"/>
      <c r="G13" s="152">
        <v>260000</v>
      </c>
      <c r="H13" s="152">
        <v>317604</v>
      </c>
      <c r="I13" s="153">
        <v>317604</v>
      </c>
      <c r="J13" s="327">
        <f t="shared" si="0"/>
        <v>1</v>
      </c>
      <c r="K13" s="153"/>
    </row>
    <row r="14" spans="2:11" s="16" customFormat="1" ht="15.75">
      <c r="B14" s="79"/>
      <c r="C14" s="79" t="s">
        <v>148</v>
      </c>
      <c r="D14" s="79" t="s">
        <v>149</v>
      </c>
      <c r="E14" s="146"/>
      <c r="F14" s="146"/>
      <c r="G14" s="152">
        <v>350000</v>
      </c>
      <c r="H14" s="152">
        <v>1280474</v>
      </c>
      <c r="I14" s="153">
        <v>1280474</v>
      </c>
      <c r="J14" s="327">
        <f t="shared" si="0"/>
        <v>1</v>
      </c>
      <c r="K14" s="153"/>
    </row>
    <row r="15" spans="1:11" s="52" customFormat="1" ht="15.75" customHeight="1">
      <c r="A15" s="52" t="s">
        <v>28</v>
      </c>
      <c r="B15" s="53" t="s">
        <v>155</v>
      </c>
      <c r="C15" s="53"/>
      <c r="D15" s="53"/>
      <c r="E15" s="149"/>
      <c r="F15" s="150"/>
      <c r="G15" s="108">
        <f>SUM(G16)</f>
        <v>4650000</v>
      </c>
      <c r="H15" s="108">
        <f>SUM(H16:H17)</f>
        <v>5252156</v>
      </c>
      <c r="I15" s="331">
        <f>SUM(I16:I17)</f>
        <v>5252156</v>
      </c>
      <c r="J15" s="327">
        <f t="shared" si="0"/>
        <v>1</v>
      </c>
      <c r="K15" s="84"/>
    </row>
    <row r="16" spans="2:11" s="16" customFormat="1" ht="15.75">
      <c r="B16" s="79"/>
      <c r="C16" s="79"/>
      <c r="D16" s="79" t="s">
        <v>156</v>
      </c>
      <c r="E16" s="146"/>
      <c r="F16" s="146"/>
      <c r="G16" s="148">
        <v>4650000</v>
      </c>
      <c r="H16" s="148">
        <v>4967851</v>
      </c>
      <c r="I16" s="86">
        <v>4967851</v>
      </c>
      <c r="J16" s="327">
        <f t="shared" si="0"/>
        <v>1</v>
      </c>
      <c r="K16" s="86"/>
    </row>
    <row r="17" spans="2:11" s="16" customFormat="1" ht="15.75">
      <c r="B17" s="79"/>
      <c r="C17" s="79"/>
      <c r="D17" s="79" t="s">
        <v>241</v>
      </c>
      <c r="E17" s="146"/>
      <c r="F17" s="146"/>
      <c r="G17" s="148"/>
      <c r="H17" s="148">
        <v>284305</v>
      </c>
      <c r="I17" s="86">
        <v>284305</v>
      </c>
      <c r="J17" s="327"/>
      <c r="K17" s="86"/>
    </row>
    <row r="18" spans="1:11" s="52" customFormat="1" ht="15.75">
      <c r="A18" s="52" t="s">
        <v>30</v>
      </c>
      <c r="B18" s="53" t="s">
        <v>31</v>
      </c>
      <c r="C18" s="53"/>
      <c r="D18" s="53"/>
      <c r="E18" s="149"/>
      <c r="F18" s="143"/>
      <c r="G18" s="105">
        <f>SUM(G19+G29+G32+G49+G46)</f>
        <v>17601000</v>
      </c>
      <c r="H18" s="105">
        <f>SUM(H19+H29+H32+H49+H46)</f>
        <v>18801669</v>
      </c>
      <c r="I18" s="335">
        <f>SUM(I19+I29+I32+I49+I46+I41)</f>
        <v>17614469</v>
      </c>
      <c r="J18" s="327">
        <f>I18/H18</f>
        <v>0.9368566694797148</v>
      </c>
      <c r="K18" s="170"/>
    </row>
    <row r="19" spans="2:11" s="16" customFormat="1" ht="15.75">
      <c r="B19" s="79" t="s">
        <v>157</v>
      </c>
      <c r="C19" s="79"/>
      <c r="D19" s="79" t="s">
        <v>158</v>
      </c>
      <c r="E19" s="151"/>
      <c r="F19" s="151"/>
      <c r="G19" s="107">
        <f>SUM(G20+G23)</f>
        <v>3376000</v>
      </c>
      <c r="H19" s="107">
        <f>SUM(H20+H23)</f>
        <v>4017537</v>
      </c>
      <c r="I19" s="328">
        <f>SUM(I20+I23)</f>
        <v>3684512</v>
      </c>
      <c r="J19" s="327">
        <f>I19/H19</f>
        <v>0.9171071728773127</v>
      </c>
      <c r="K19" s="85"/>
    </row>
    <row r="20" spans="2:11" s="16" customFormat="1" ht="15.75">
      <c r="B20" s="79"/>
      <c r="C20" s="79" t="s">
        <v>159</v>
      </c>
      <c r="D20" s="79" t="s">
        <v>160</v>
      </c>
      <c r="E20" s="151"/>
      <c r="F20" s="151"/>
      <c r="G20" s="101">
        <f>SUM(G21:G22)</f>
        <v>1165000</v>
      </c>
      <c r="H20" s="101">
        <v>1151961</v>
      </c>
      <c r="I20" s="329">
        <v>818936</v>
      </c>
      <c r="J20" s="327">
        <f>I20/H20</f>
        <v>0.7109060115750446</v>
      </c>
      <c r="K20" s="86"/>
    </row>
    <row r="21" spans="2:11" s="16" customFormat="1" ht="15.75">
      <c r="B21" s="79"/>
      <c r="C21" s="79"/>
      <c r="D21" s="79"/>
      <c r="E21" s="151" t="s">
        <v>323</v>
      </c>
      <c r="F21" s="151"/>
      <c r="G21" s="152">
        <v>1100000</v>
      </c>
      <c r="H21" s="152"/>
      <c r="I21" s="153"/>
      <c r="J21" s="327"/>
      <c r="K21" s="153"/>
    </row>
    <row r="22" spans="2:11" s="16" customFormat="1" ht="15.75">
      <c r="B22" s="79"/>
      <c r="C22" s="79"/>
      <c r="D22" s="79"/>
      <c r="E22" s="151" t="s">
        <v>324</v>
      </c>
      <c r="F22" s="151"/>
      <c r="G22" s="152">
        <v>65000</v>
      </c>
      <c r="H22" s="152"/>
      <c r="I22" s="153"/>
      <c r="J22" s="327"/>
      <c r="K22" s="153"/>
    </row>
    <row r="23" spans="2:11" s="16" customFormat="1" ht="15.75">
      <c r="B23" s="79"/>
      <c r="C23" s="79" t="s">
        <v>162</v>
      </c>
      <c r="D23" s="79" t="s">
        <v>163</v>
      </c>
      <c r="E23" s="146"/>
      <c r="F23" s="146"/>
      <c r="G23" s="101">
        <f>SUM(G24:G28)</f>
        <v>2211000</v>
      </c>
      <c r="H23" s="101">
        <v>2865576</v>
      </c>
      <c r="I23" s="329">
        <v>2865576</v>
      </c>
      <c r="J23" s="327">
        <f>I23/H23</f>
        <v>1</v>
      </c>
      <c r="K23" s="86"/>
    </row>
    <row r="24" spans="2:11" s="16" customFormat="1" ht="15.75">
      <c r="B24" s="79"/>
      <c r="C24" s="79"/>
      <c r="D24" s="79"/>
      <c r="E24" s="146" t="s">
        <v>325</v>
      </c>
      <c r="F24" s="146"/>
      <c r="G24" s="152">
        <v>950000</v>
      </c>
      <c r="H24" s="152"/>
      <c r="I24" s="153"/>
      <c r="J24" s="327"/>
      <c r="K24" s="153"/>
    </row>
    <row r="25" spans="1:11" s="16" customFormat="1" ht="15.75">
      <c r="A25" s="52"/>
      <c r="B25" s="78"/>
      <c r="C25" s="78"/>
      <c r="D25" s="154"/>
      <c r="E25" s="146" t="s">
        <v>164</v>
      </c>
      <c r="F25" s="146"/>
      <c r="G25" s="152">
        <v>76000</v>
      </c>
      <c r="H25" s="152"/>
      <c r="I25" s="153"/>
      <c r="J25" s="327"/>
      <c r="K25" s="153"/>
    </row>
    <row r="26" spans="1:11" s="16" customFormat="1" ht="15.75">
      <c r="A26" s="52"/>
      <c r="B26" s="78"/>
      <c r="C26" s="78"/>
      <c r="D26" s="154"/>
      <c r="E26" s="146" t="s">
        <v>165</v>
      </c>
      <c r="F26" s="146"/>
      <c r="G26" s="152">
        <v>20000</v>
      </c>
      <c r="H26" s="152"/>
      <c r="I26" s="153"/>
      <c r="J26" s="327"/>
      <c r="K26" s="153"/>
    </row>
    <row r="27" spans="1:11" s="16" customFormat="1" ht="15.75">
      <c r="A27" s="52"/>
      <c r="B27" s="78"/>
      <c r="C27" s="78"/>
      <c r="D27" s="154"/>
      <c r="E27" s="146" t="s">
        <v>240</v>
      </c>
      <c r="F27" s="146"/>
      <c r="G27" s="152">
        <v>165000</v>
      </c>
      <c r="H27" s="152"/>
      <c r="I27" s="153"/>
      <c r="J27" s="327"/>
      <c r="K27" s="153"/>
    </row>
    <row r="28" spans="1:11" s="16" customFormat="1" ht="15.75">
      <c r="A28" s="52"/>
      <c r="B28" s="78"/>
      <c r="C28" s="78"/>
      <c r="D28" s="154"/>
      <c r="E28" s="146" t="s">
        <v>166</v>
      </c>
      <c r="F28" s="146"/>
      <c r="G28" s="152">
        <v>1000000</v>
      </c>
      <c r="H28" s="152"/>
      <c r="I28" s="153"/>
      <c r="J28" s="327"/>
      <c r="K28" s="153"/>
    </row>
    <row r="29" spans="2:11" s="16" customFormat="1" ht="15.75">
      <c r="B29" s="79" t="s">
        <v>167</v>
      </c>
      <c r="C29" s="79"/>
      <c r="D29" s="79" t="s">
        <v>168</v>
      </c>
      <c r="E29" s="146"/>
      <c r="F29" s="146"/>
      <c r="G29" s="88">
        <f>SUM(G30)</f>
        <v>110000</v>
      </c>
      <c r="H29" s="88">
        <f>SUM(H30)</f>
        <v>110000</v>
      </c>
      <c r="I29" s="330">
        <f>SUM(I30)</f>
        <v>57517</v>
      </c>
      <c r="J29" s="327">
        <f>I29/H29</f>
        <v>0.5228818181818182</v>
      </c>
      <c r="K29" s="172"/>
    </row>
    <row r="30" spans="2:11" s="16" customFormat="1" ht="15.75">
      <c r="B30" s="79"/>
      <c r="C30" s="79" t="s">
        <v>174</v>
      </c>
      <c r="D30" s="79" t="s">
        <v>175</v>
      </c>
      <c r="E30" s="146"/>
      <c r="F30" s="146"/>
      <c r="G30" s="101">
        <f>SUM(G31)</f>
        <v>110000</v>
      </c>
      <c r="H30" s="101">
        <v>110000</v>
      </c>
      <c r="I30" s="329">
        <v>57517</v>
      </c>
      <c r="J30" s="327">
        <f>I30/H30</f>
        <v>0.5228818181818182</v>
      </c>
      <c r="K30" s="86"/>
    </row>
    <row r="31" spans="2:11" s="16" customFormat="1" ht="15.75">
      <c r="B31" s="79"/>
      <c r="C31" s="79"/>
      <c r="D31" s="79"/>
      <c r="E31" s="146" t="s">
        <v>176</v>
      </c>
      <c r="F31" s="146"/>
      <c r="G31" s="152">
        <v>110000</v>
      </c>
      <c r="H31" s="152"/>
      <c r="I31" s="153"/>
      <c r="J31" s="327"/>
      <c r="K31" s="153"/>
    </row>
    <row r="32" spans="2:11" s="16" customFormat="1" ht="15.75">
      <c r="B32" s="79" t="s">
        <v>177</v>
      </c>
      <c r="C32" s="79"/>
      <c r="D32" s="79" t="s">
        <v>178</v>
      </c>
      <c r="E32" s="146"/>
      <c r="F32" s="146"/>
      <c r="G32" s="171">
        <f>SUM(G33+G37+G38+G39)</f>
        <v>10825000</v>
      </c>
      <c r="H32" s="171">
        <f>SUM(H33+H37+H38+H39)</f>
        <v>11339955</v>
      </c>
      <c r="I32" s="172">
        <f>SUM(I33+I37+I38+I39)</f>
        <v>10621490</v>
      </c>
      <c r="J32" s="327">
        <f>I32/H32</f>
        <v>0.9366430466434832</v>
      </c>
      <c r="K32" s="172"/>
    </row>
    <row r="33" spans="2:11" s="16" customFormat="1" ht="15.75">
      <c r="B33" s="79"/>
      <c r="C33" s="79" t="s">
        <v>179</v>
      </c>
      <c r="D33" s="79" t="s">
        <v>180</v>
      </c>
      <c r="E33" s="146"/>
      <c r="F33" s="146"/>
      <c r="G33" s="101">
        <f>SUM(G34:G36)</f>
        <v>2615000</v>
      </c>
      <c r="H33" s="101">
        <v>2590708</v>
      </c>
      <c r="I33" s="329">
        <v>2282228</v>
      </c>
      <c r="J33" s="327">
        <f>I33/H33</f>
        <v>0.8809283022247201</v>
      </c>
      <c r="K33" s="86"/>
    </row>
    <row r="34" spans="2:11" s="16" customFormat="1" ht="15.75">
      <c r="B34" s="79"/>
      <c r="C34" s="79"/>
      <c r="D34" s="79"/>
      <c r="E34" s="146" t="s">
        <v>181</v>
      </c>
      <c r="F34" s="146"/>
      <c r="G34" s="152">
        <v>615000</v>
      </c>
      <c r="H34" s="152"/>
      <c r="I34" s="153"/>
      <c r="J34" s="327"/>
      <c r="K34" s="153"/>
    </row>
    <row r="35" spans="2:11" s="16" customFormat="1" ht="15.75">
      <c r="B35" s="79"/>
      <c r="C35" s="79"/>
      <c r="D35" s="79"/>
      <c r="E35" s="146" t="s">
        <v>182</v>
      </c>
      <c r="F35" s="146"/>
      <c r="G35" s="152">
        <v>1600000</v>
      </c>
      <c r="H35" s="152"/>
      <c r="I35" s="153"/>
      <c r="J35" s="327"/>
      <c r="K35" s="153"/>
    </row>
    <row r="36" spans="2:11" s="16" customFormat="1" ht="15.75">
      <c r="B36" s="79"/>
      <c r="C36" s="79"/>
      <c r="D36" s="79"/>
      <c r="E36" s="146" t="s">
        <v>183</v>
      </c>
      <c r="F36" s="146"/>
      <c r="G36" s="152">
        <v>400000</v>
      </c>
      <c r="H36" s="152"/>
      <c r="I36" s="153"/>
      <c r="J36" s="327"/>
      <c r="K36" s="153"/>
    </row>
    <row r="37" spans="2:11" s="16" customFormat="1" ht="15.75">
      <c r="B37" s="79"/>
      <c r="C37" s="79" t="s">
        <v>326</v>
      </c>
      <c r="D37" s="79" t="s">
        <v>327</v>
      </c>
      <c r="E37" s="146"/>
      <c r="F37" s="146"/>
      <c r="G37" s="148">
        <v>6750000</v>
      </c>
      <c r="H37" s="148">
        <v>6881164</v>
      </c>
      <c r="I37" s="86">
        <v>6483664</v>
      </c>
      <c r="J37" s="327">
        <f>I37/H37</f>
        <v>0.9422336104763671</v>
      </c>
      <c r="K37" s="86"/>
    </row>
    <row r="38" spans="2:11" s="16" customFormat="1" ht="15.75">
      <c r="B38" s="79"/>
      <c r="C38" s="79" t="s">
        <v>184</v>
      </c>
      <c r="D38" s="79" t="s">
        <v>185</v>
      </c>
      <c r="E38" s="146"/>
      <c r="F38" s="146"/>
      <c r="G38" s="148">
        <v>400000</v>
      </c>
      <c r="H38" s="148">
        <v>765312</v>
      </c>
      <c r="I38" s="86">
        <v>765312</v>
      </c>
      <c r="J38" s="327">
        <f>I38/H38</f>
        <v>1</v>
      </c>
      <c r="K38" s="86"/>
    </row>
    <row r="39" spans="2:11" s="16" customFormat="1" ht="15.75">
      <c r="B39" s="79"/>
      <c r="C39" s="79" t="s">
        <v>186</v>
      </c>
      <c r="D39" s="79" t="s">
        <v>187</v>
      </c>
      <c r="E39" s="146"/>
      <c r="F39" s="146"/>
      <c r="G39" s="101">
        <f>SUM(G40:G45)</f>
        <v>1060000</v>
      </c>
      <c r="H39" s="101">
        <v>1102771</v>
      </c>
      <c r="I39" s="329">
        <v>1090286</v>
      </c>
      <c r="J39" s="327">
        <f>I39/H39</f>
        <v>0.9886785198377541</v>
      </c>
      <c r="K39" s="86"/>
    </row>
    <row r="40" spans="2:11" s="16" customFormat="1" ht="15.75">
      <c r="B40" s="79"/>
      <c r="C40" s="79"/>
      <c r="D40" s="79"/>
      <c r="E40" s="146" t="s">
        <v>188</v>
      </c>
      <c r="F40" s="146"/>
      <c r="G40" s="152">
        <v>2000</v>
      </c>
      <c r="H40" s="152"/>
      <c r="I40" s="153"/>
      <c r="J40" s="327"/>
      <c r="K40" s="153"/>
    </row>
    <row r="41" spans="2:11" s="16" customFormat="1" ht="15.75">
      <c r="B41" s="79"/>
      <c r="C41" s="79"/>
      <c r="D41" s="79"/>
      <c r="E41" s="146" t="s">
        <v>189</v>
      </c>
      <c r="F41" s="146"/>
      <c r="G41" s="152">
        <v>13000</v>
      </c>
      <c r="H41" s="152">
        <v>13000</v>
      </c>
      <c r="I41" s="153">
        <v>12485</v>
      </c>
      <c r="J41" s="327"/>
      <c r="K41" s="153"/>
    </row>
    <row r="42" spans="2:11" s="16" customFormat="1" ht="15.75">
      <c r="B42" s="79"/>
      <c r="C42" s="79"/>
      <c r="D42" s="79"/>
      <c r="E42" s="146" t="s">
        <v>328</v>
      </c>
      <c r="F42" s="146"/>
      <c r="G42" s="152">
        <v>20000</v>
      </c>
      <c r="H42" s="152"/>
      <c r="I42" s="153"/>
      <c r="J42" s="327"/>
      <c r="K42" s="153"/>
    </row>
    <row r="43" spans="2:11" s="16" customFormat="1" ht="15.75">
      <c r="B43" s="79"/>
      <c r="C43" s="79"/>
      <c r="D43" s="79"/>
      <c r="E43" s="146" t="s">
        <v>329</v>
      </c>
      <c r="F43" s="146"/>
      <c r="G43" s="152">
        <v>15000</v>
      </c>
      <c r="H43" s="152"/>
      <c r="I43" s="153"/>
      <c r="J43" s="327"/>
      <c r="K43" s="153"/>
    </row>
    <row r="44" spans="2:11" s="16" customFormat="1" ht="15.75">
      <c r="B44" s="79"/>
      <c r="C44" s="79"/>
      <c r="D44" s="79"/>
      <c r="E44" s="146" t="s">
        <v>330</v>
      </c>
      <c r="F44" s="146"/>
      <c r="G44" s="152">
        <v>800000</v>
      </c>
      <c r="H44" s="152"/>
      <c r="I44" s="153"/>
      <c r="J44" s="327"/>
      <c r="K44" s="153"/>
    </row>
    <row r="45" spans="2:11" s="16" customFormat="1" ht="15.75">
      <c r="B45" s="79"/>
      <c r="C45" s="79"/>
      <c r="D45" s="79"/>
      <c r="E45" s="146" t="s">
        <v>331</v>
      </c>
      <c r="F45" s="146"/>
      <c r="G45" s="152">
        <v>210000</v>
      </c>
      <c r="H45" s="152"/>
      <c r="I45" s="153"/>
      <c r="J45" s="327"/>
      <c r="K45" s="153"/>
    </row>
    <row r="46" spans="2:11" s="16" customFormat="1" ht="15.75">
      <c r="B46" s="79" t="s">
        <v>192</v>
      </c>
      <c r="C46" s="79"/>
      <c r="D46" s="79" t="s">
        <v>193</v>
      </c>
      <c r="E46" s="146"/>
      <c r="F46" s="146"/>
      <c r="G46" s="88">
        <f aca="true" t="shared" si="1" ref="G46:I47">SUM(G47)</f>
        <v>90000</v>
      </c>
      <c r="H46" s="88">
        <f t="shared" si="1"/>
        <v>90000</v>
      </c>
      <c r="I46" s="330">
        <f t="shared" si="1"/>
        <v>71325</v>
      </c>
      <c r="J46" s="327">
        <f>I46/H46</f>
        <v>0.7925</v>
      </c>
      <c r="K46" s="172"/>
    </row>
    <row r="47" spans="2:11" s="16" customFormat="1" ht="15.75">
      <c r="B47" s="79"/>
      <c r="C47" s="79" t="s">
        <v>194</v>
      </c>
      <c r="D47" s="79" t="s">
        <v>195</v>
      </c>
      <c r="E47" s="146"/>
      <c r="F47" s="146"/>
      <c r="G47" s="101">
        <f t="shared" si="1"/>
        <v>90000</v>
      </c>
      <c r="H47" s="101">
        <f t="shared" si="1"/>
        <v>90000</v>
      </c>
      <c r="I47" s="329">
        <f t="shared" si="1"/>
        <v>71325</v>
      </c>
      <c r="J47" s="327">
        <f>I47/H47</f>
        <v>0.7925</v>
      </c>
      <c r="K47" s="86"/>
    </row>
    <row r="48" spans="2:11" s="16" customFormat="1" ht="15.75">
      <c r="B48" s="79"/>
      <c r="C48" s="79"/>
      <c r="D48" s="79"/>
      <c r="E48" s="146" t="s">
        <v>332</v>
      </c>
      <c r="F48" s="146"/>
      <c r="G48" s="152">
        <v>90000</v>
      </c>
      <c r="H48" s="152">
        <v>90000</v>
      </c>
      <c r="I48" s="153">
        <v>71325</v>
      </c>
      <c r="J48" s="327">
        <f>I48/H48</f>
        <v>0.7925</v>
      </c>
      <c r="K48" s="153"/>
    </row>
    <row r="49" spans="2:11" s="16" customFormat="1" ht="15.75">
      <c r="B49" s="79" t="s">
        <v>196</v>
      </c>
      <c r="C49" s="79"/>
      <c r="D49" s="79" t="s">
        <v>197</v>
      </c>
      <c r="E49" s="146"/>
      <c r="F49" s="146"/>
      <c r="G49" s="88">
        <f>SUM(G50)</f>
        <v>3200000</v>
      </c>
      <c r="H49" s="88">
        <f>SUM(H50:H51)</f>
        <v>3244177</v>
      </c>
      <c r="I49" s="330">
        <f>SUM(I50:I51)</f>
        <v>3167140</v>
      </c>
      <c r="J49" s="327">
        <f>I49/H49</f>
        <v>0.9762537617398804</v>
      </c>
      <c r="K49" s="172"/>
    </row>
    <row r="50" spans="2:11" s="16" customFormat="1" ht="15.75">
      <c r="B50" s="79"/>
      <c r="C50" s="79" t="s">
        <v>198</v>
      </c>
      <c r="D50" s="79" t="s">
        <v>199</v>
      </c>
      <c r="E50" s="146"/>
      <c r="F50" s="146"/>
      <c r="G50" s="152">
        <v>3200000</v>
      </c>
      <c r="H50" s="152">
        <v>3244157</v>
      </c>
      <c r="I50" s="153">
        <v>3167134</v>
      </c>
      <c r="J50" s="327">
        <f>I50/H50</f>
        <v>0.9762579307968141</v>
      </c>
      <c r="K50" s="153"/>
    </row>
    <row r="51" spans="2:11" s="16" customFormat="1" ht="15.75">
      <c r="B51" s="79"/>
      <c r="C51" s="79" t="s">
        <v>200</v>
      </c>
      <c r="D51" s="79" t="s">
        <v>201</v>
      </c>
      <c r="E51" s="168"/>
      <c r="F51" s="168"/>
      <c r="G51" s="153"/>
      <c r="H51" s="153">
        <v>20</v>
      </c>
      <c r="I51" s="86">
        <v>6</v>
      </c>
      <c r="J51" s="327"/>
      <c r="K51" s="153"/>
    </row>
    <row r="52" spans="1:12" s="52" customFormat="1" ht="15.75">
      <c r="A52" s="52" t="s">
        <v>37</v>
      </c>
      <c r="B52" s="53" t="s">
        <v>38</v>
      </c>
      <c r="C52" s="53"/>
      <c r="D52" s="53"/>
      <c r="E52" s="53"/>
      <c r="F52" s="149"/>
      <c r="G52" s="174"/>
      <c r="H52" s="144">
        <f>SUM(H53:H54)</f>
        <v>336289</v>
      </c>
      <c r="I52" s="84">
        <f>SUM(I53:I54)</f>
        <v>336001</v>
      </c>
      <c r="J52" s="327">
        <f aca="true" t="shared" si="2" ref="J52:J71">I52/H52</f>
        <v>0.9991435937541817</v>
      </c>
      <c r="K52" s="84"/>
      <c r="L52" s="331"/>
    </row>
    <row r="53" spans="2:12" s="52" customFormat="1" ht="15.75">
      <c r="B53" s="79" t="s">
        <v>333</v>
      </c>
      <c r="C53" s="53"/>
      <c r="D53" s="79" t="s">
        <v>334</v>
      </c>
      <c r="E53" s="53"/>
      <c r="F53" s="149"/>
      <c r="G53" s="174"/>
      <c r="H53" s="148">
        <v>264856</v>
      </c>
      <c r="I53" s="86">
        <v>264568</v>
      </c>
      <c r="J53" s="327">
        <f t="shared" si="2"/>
        <v>0.9989126166671701</v>
      </c>
      <c r="K53" s="86"/>
      <c r="L53" s="329"/>
    </row>
    <row r="54" spans="2:12" s="52" customFormat="1" ht="15.75">
      <c r="B54" s="79" t="s">
        <v>223</v>
      </c>
      <c r="C54" s="53"/>
      <c r="D54" s="79" t="s">
        <v>335</v>
      </c>
      <c r="E54" s="53"/>
      <c r="F54" s="149"/>
      <c r="G54" s="174"/>
      <c r="H54" s="148">
        <v>71433</v>
      </c>
      <c r="I54" s="86">
        <v>71433</v>
      </c>
      <c r="J54" s="327">
        <f t="shared" si="2"/>
        <v>1</v>
      </c>
      <c r="K54" s="86"/>
      <c r="L54" s="329"/>
    </row>
    <row r="55" spans="1:11" s="286" customFormat="1" ht="26.25" customHeight="1">
      <c r="A55" s="493" t="s">
        <v>316</v>
      </c>
      <c r="B55" s="493"/>
      <c r="C55" s="493"/>
      <c r="D55" s="493"/>
      <c r="E55" s="493"/>
      <c r="F55" s="332">
        <v>1</v>
      </c>
      <c r="G55" s="333"/>
      <c r="H55" s="333">
        <f>SUM(H56+H61+H64)</f>
        <v>1093334</v>
      </c>
      <c r="I55" s="458">
        <f>SUM(I56+I61+I64)</f>
        <v>1093334</v>
      </c>
      <c r="J55" s="334">
        <f t="shared" si="2"/>
        <v>1</v>
      </c>
      <c r="K55" s="326"/>
    </row>
    <row r="56" spans="1:14" s="52" customFormat="1" ht="15.75">
      <c r="A56" s="52" t="s">
        <v>26</v>
      </c>
      <c r="B56" s="78" t="s">
        <v>141</v>
      </c>
      <c r="C56" s="78"/>
      <c r="D56" s="78"/>
      <c r="E56" s="143"/>
      <c r="F56" s="143"/>
      <c r="G56" s="108"/>
      <c r="H56" s="108">
        <f>SUM(H57)</f>
        <v>963091</v>
      </c>
      <c r="I56" s="331">
        <f>SUM(I57)</f>
        <v>963091</v>
      </c>
      <c r="J56" s="327">
        <f t="shared" si="2"/>
        <v>1</v>
      </c>
      <c r="K56" s="84"/>
      <c r="M56" s="54"/>
      <c r="N56" s="54"/>
    </row>
    <row r="57" spans="2:11" s="16" customFormat="1" ht="15.75">
      <c r="B57" s="79" t="s">
        <v>142</v>
      </c>
      <c r="C57" s="79"/>
      <c r="D57" s="79" t="s">
        <v>143</v>
      </c>
      <c r="E57" s="146"/>
      <c r="F57" s="146"/>
      <c r="G57" s="107"/>
      <c r="H57" s="107">
        <f>SUM(H58:H60)</f>
        <v>963091</v>
      </c>
      <c r="I57" s="328">
        <f>SUM(I58:I60)</f>
        <v>963091</v>
      </c>
      <c r="J57" s="327">
        <f t="shared" si="2"/>
        <v>1</v>
      </c>
      <c r="K57" s="85"/>
    </row>
    <row r="58" spans="2:11" s="16" customFormat="1" ht="15.75">
      <c r="B58" s="79"/>
      <c r="C58" s="79" t="s">
        <v>144</v>
      </c>
      <c r="D58" s="79" t="s">
        <v>145</v>
      </c>
      <c r="E58" s="146"/>
      <c r="F58" s="146"/>
      <c r="G58" s="152"/>
      <c r="H58" s="148">
        <v>920684</v>
      </c>
      <c r="I58" s="86">
        <v>920684</v>
      </c>
      <c r="J58" s="327">
        <f t="shared" si="2"/>
        <v>1</v>
      </c>
      <c r="K58" s="86"/>
    </row>
    <row r="59" spans="2:11" s="16" customFormat="1" ht="15.75">
      <c r="B59" s="79"/>
      <c r="C59" s="79" t="s">
        <v>146</v>
      </c>
      <c r="D59" s="79" t="s">
        <v>336</v>
      </c>
      <c r="E59" s="146"/>
      <c r="F59" s="146"/>
      <c r="G59" s="152"/>
      <c r="H59" s="148">
        <v>22556</v>
      </c>
      <c r="I59" s="86">
        <v>22556</v>
      </c>
      <c r="J59" s="327">
        <f t="shared" si="2"/>
        <v>1</v>
      </c>
      <c r="K59" s="86"/>
    </row>
    <row r="60" spans="2:11" s="16" customFormat="1" ht="15.75">
      <c r="B60" s="79"/>
      <c r="C60" s="79" t="s">
        <v>148</v>
      </c>
      <c r="D60" s="79" t="s">
        <v>337</v>
      </c>
      <c r="E60" s="146"/>
      <c r="F60" s="146"/>
      <c r="G60" s="152"/>
      <c r="H60" s="148">
        <v>19851</v>
      </c>
      <c r="I60" s="86">
        <v>19851</v>
      </c>
      <c r="J60" s="327">
        <f t="shared" si="2"/>
        <v>1</v>
      </c>
      <c r="K60" s="86"/>
    </row>
    <row r="61" spans="1:11" s="52" customFormat="1" ht="15.75" customHeight="1">
      <c r="A61" s="52" t="s">
        <v>28</v>
      </c>
      <c r="B61" s="53" t="s">
        <v>155</v>
      </c>
      <c r="C61" s="53"/>
      <c r="D61" s="53"/>
      <c r="E61" s="149"/>
      <c r="F61" s="150"/>
      <c r="G61" s="108"/>
      <c r="H61" s="108">
        <f>SUM(H62:H63)</f>
        <v>95998</v>
      </c>
      <c r="I61" s="331">
        <f>SUM(I62:I63)</f>
        <v>95998</v>
      </c>
      <c r="J61" s="327">
        <f t="shared" si="2"/>
        <v>1</v>
      </c>
      <c r="K61" s="84"/>
    </row>
    <row r="62" spans="2:11" s="16" customFormat="1" ht="15.75">
      <c r="B62" s="79"/>
      <c r="C62" s="79"/>
      <c r="D62" s="79" t="s">
        <v>156</v>
      </c>
      <c r="E62" s="146"/>
      <c r="F62" s="146"/>
      <c r="G62" s="148"/>
      <c r="H62" s="148">
        <v>94918</v>
      </c>
      <c r="I62" s="86">
        <v>94918</v>
      </c>
      <c r="J62" s="327">
        <f t="shared" si="2"/>
        <v>1</v>
      </c>
      <c r="K62" s="86"/>
    </row>
    <row r="63" spans="2:11" s="16" customFormat="1" ht="15.75">
      <c r="B63" s="79"/>
      <c r="C63" s="79"/>
      <c r="D63" s="79" t="s">
        <v>241</v>
      </c>
      <c r="E63" s="146"/>
      <c r="F63" s="146"/>
      <c r="G63" s="148"/>
      <c r="H63" s="148">
        <v>1080</v>
      </c>
      <c r="I63" s="86">
        <v>1080</v>
      </c>
      <c r="J63" s="327">
        <f t="shared" si="2"/>
        <v>1</v>
      </c>
      <c r="K63" s="86"/>
    </row>
    <row r="64" spans="1:11" s="52" customFormat="1" ht="15.75">
      <c r="A64" s="52" t="s">
        <v>30</v>
      </c>
      <c r="B64" s="53" t="s">
        <v>31</v>
      </c>
      <c r="C64" s="53"/>
      <c r="D64" s="53"/>
      <c r="E64" s="149"/>
      <c r="F64" s="143"/>
      <c r="G64" s="105">
        <v>0</v>
      </c>
      <c r="H64" s="335">
        <f>SUM(H65+H67+H69)</f>
        <v>34245</v>
      </c>
      <c r="I64" s="335">
        <f>SUM(I65+I67+I69)</f>
        <v>34245</v>
      </c>
      <c r="J64" s="327">
        <f t="shared" si="2"/>
        <v>1</v>
      </c>
      <c r="K64" s="170"/>
    </row>
    <row r="65" spans="2:11" s="16" customFormat="1" ht="15.75">
      <c r="B65" s="79" t="s">
        <v>157</v>
      </c>
      <c r="C65" s="79"/>
      <c r="D65" s="79" t="s">
        <v>158</v>
      </c>
      <c r="E65" s="151"/>
      <c r="F65" s="151"/>
      <c r="G65" s="107">
        <v>0</v>
      </c>
      <c r="H65" s="107">
        <v>25626</v>
      </c>
      <c r="I65" s="328">
        <f>I66</f>
        <v>25626</v>
      </c>
      <c r="J65" s="327">
        <f t="shared" si="2"/>
        <v>1</v>
      </c>
      <c r="K65" s="85"/>
    </row>
    <row r="66" spans="2:11" s="16" customFormat="1" ht="15.75">
      <c r="B66" s="79"/>
      <c r="C66" s="79" t="s">
        <v>162</v>
      </c>
      <c r="D66" s="79" t="s">
        <v>163</v>
      </c>
      <c r="E66" s="146"/>
      <c r="F66" s="146"/>
      <c r="G66" s="101">
        <v>0</v>
      </c>
      <c r="H66" s="101">
        <v>25626</v>
      </c>
      <c r="I66" s="329">
        <v>25626</v>
      </c>
      <c r="J66" s="327">
        <f t="shared" si="2"/>
        <v>1</v>
      </c>
      <c r="K66" s="86"/>
    </row>
    <row r="67" spans="2:11" s="16" customFormat="1" ht="15.75">
      <c r="B67" s="79" t="s">
        <v>177</v>
      </c>
      <c r="C67" s="79"/>
      <c r="D67" s="79" t="s">
        <v>178</v>
      </c>
      <c r="E67" s="146"/>
      <c r="F67" s="146"/>
      <c r="G67" s="171">
        <v>0</v>
      </c>
      <c r="H67" s="171">
        <v>1700</v>
      </c>
      <c r="I67" s="172">
        <f>I68</f>
        <v>1700</v>
      </c>
      <c r="J67" s="327">
        <f t="shared" si="2"/>
        <v>1</v>
      </c>
      <c r="K67" s="172"/>
    </row>
    <row r="68" spans="2:11" s="16" customFormat="1" ht="15.75">
      <c r="B68" s="79"/>
      <c r="C68" s="79" t="s">
        <v>186</v>
      </c>
      <c r="D68" s="79" t="s">
        <v>187</v>
      </c>
      <c r="E68" s="146"/>
      <c r="F68" s="146"/>
      <c r="G68" s="101">
        <v>0</v>
      </c>
      <c r="H68" s="101">
        <v>1700</v>
      </c>
      <c r="I68" s="329">
        <v>1700</v>
      </c>
      <c r="J68" s="327">
        <f t="shared" si="2"/>
        <v>1</v>
      </c>
      <c r="K68" s="86"/>
    </row>
    <row r="69" spans="2:11" s="16" customFormat="1" ht="15.75">
      <c r="B69" s="79" t="s">
        <v>196</v>
      </c>
      <c r="C69" s="79"/>
      <c r="D69" s="79" t="s">
        <v>197</v>
      </c>
      <c r="E69" s="146"/>
      <c r="F69" s="146"/>
      <c r="G69" s="88">
        <v>0</v>
      </c>
      <c r="H69" s="88">
        <v>6919</v>
      </c>
      <c r="I69" s="330">
        <v>6919</v>
      </c>
      <c r="J69" s="327">
        <f t="shared" si="2"/>
        <v>1</v>
      </c>
      <c r="K69" s="172"/>
    </row>
    <row r="70" spans="2:11" s="16" customFormat="1" ht="15.75">
      <c r="B70" s="79"/>
      <c r="C70" s="79" t="s">
        <v>198</v>
      </c>
      <c r="D70" s="79" t="s">
        <v>199</v>
      </c>
      <c r="E70" s="146"/>
      <c r="F70" s="146"/>
      <c r="G70" s="152">
        <v>0</v>
      </c>
      <c r="H70" s="152">
        <v>6919</v>
      </c>
      <c r="I70" s="153">
        <v>6919</v>
      </c>
      <c r="J70" s="327">
        <f t="shared" si="2"/>
        <v>1</v>
      </c>
      <c r="K70" s="153"/>
    </row>
    <row r="71" spans="1:11" s="286" customFormat="1" ht="21" customHeight="1">
      <c r="A71" s="336" t="s">
        <v>43</v>
      </c>
      <c r="B71" s="337"/>
      <c r="C71" s="337"/>
      <c r="D71" s="337"/>
      <c r="E71" s="338"/>
      <c r="F71" s="338"/>
      <c r="G71" s="339">
        <f>SUM(G7,G55)</f>
        <v>46091000</v>
      </c>
      <c r="H71" s="339">
        <f>SUM(H7,H55)</f>
        <v>51626361</v>
      </c>
      <c r="I71" s="340">
        <f>SUM(I7,I55)</f>
        <v>49869588</v>
      </c>
      <c r="J71" s="341">
        <f t="shared" si="2"/>
        <v>0.9659713958921102</v>
      </c>
      <c r="K71" s="326"/>
    </row>
    <row r="72" spans="1:11" s="286" customFormat="1" ht="21.75" customHeight="1">
      <c r="A72" s="337" t="s">
        <v>338</v>
      </c>
      <c r="B72" s="337"/>
      <c r="C72" s="337"/>
      <c r="D72" s="337"/>
      <c r="E72" s="338"/>
      <c r="F72" s="342">
        <f>SUM(F7,F55)</f>
        <v>9</v>
      </c>
      <c r="G72" s="343"/>
      <c r="H72" s="344"/>
      <c r="I72" s="343"/>
      <c r="J72" s="345"/>
      <c r="K72" s="346"/>
    </row>
    <row r="73" spans="1:12" s="2" customFormat="1" ht="15.75">
      <c r="A73" s="52" t="s">
        <v>26</v>
      </c>
      <c r="B73" s="78" t="s">
        <v>141</v>
      </c>
      <c r="C73" s="78"/>
      <c r="D73" s="78"/>
      <c r="E73" s="78"/>
      <c r="F73" s="347"/>
      <c r="G73" s="348">
        <f>G8+G56</f>
        <v>23840000</v>
      </c>
      <c r="H73" s="348">
        <f>H8+H56</f>
        <v>27106004</v>
      </c>
      <c r="I73" s="348">
        <f>I8+I56</f>
        <v>26536719</v>
      </c>
      <c r="J73" s="99">
        <f>I73/H73</f>
        <v>0.9789978264594072</v>
      </c>
      <c r="K73" s="69"/>
      <c r="L73" s="69"/>
    </row>
    <row r="74" spans="1:12" s="2" customFormat="1" ht="15.75">
      <c r="A74" s="52" t="s">
        <v>28</v>
      </c>
      <c r="B74" s="53" t="s">
        <v>155</v>
      </c>
      <c r="C74" s="53"/>
      <c r="D74" s="53"/>
      <c r="E74" s="53"/>
      <c r="F74" s="349"/>
      <c r="G74" s="107">
        <f>G15+G61</f>
        <v>4650000</v>
      </c>
      <c r="H74" s="107">
        <f>H15+H61</f>
        <v>5348154</v>
      </c>
      <c r="I74" s="107">
        <f>I15+I61</f>
        <v>5348154</v>
      </c>
      <c r="J74" s="106">
        <f>I74/H74</f>
        <v>1</v>
      </c>
      <c r="K74" s="69"/>
      <c r="L74" s="69"/>
    </row>
    <row r="75" spans="1:12" s="2" customFormat="1" ht="15.75">
      <c r="A75" s="52" t="s">
        <v>30</v>
      </c>
      <c r="B75" s="53" t="s">
        <v>31</v>
      </c>
      <c r="C75" s="53"/>
      <c r="D75" s="53"/>
      <c r="E75" s="53"/>
      <c r="F75" s="349"/>
      <c r="G75" s="107">
        <f>G18+G64</f>
        <v>17601000</v>
      </c>
      <c r="H75" s="107">
        <f>H18+H64</f>
        <v>18835914</v>
      </c>
      <c r="I75" s="107">
        <f>I18+I64</f>
        <v>17648714</v>
      </c>
      <c r="J75" s="106">
        <f>I75/H75</f>
        <v>0.9369714684405546</v>
      </c>
      <c r="K75" s="69"/>
      <c r="L75" s="69"/>
    </row>
    <row r="76" spans="1:11" s="353" customFormat="1" ht="15.75">
      <c r="A76" s="52" t="s">
        <v>37</v>
      </c>
      <c r="B76" s="53" t="s">
        <v>38</v>
      </c>
      <c r="C76" s="53"/>
      <c r="D76" s="53"/>
      <c r="E76" s="53"/>
      <c r="F76" s="350"/>
      <c r="G76" s="351">
        <f>G52</f>
        <v>0</v>
      </c>
      <c r="H76" s="351">
        <f>H52</f>
        <v>336289</v>
      </c>
      <c r="I76" s="351">
        <f>I52</f>
        <v>336001</v>
      </c>
      <c r="J76" s="352">
        <f>I76/H76</f>
        <v>0.9991435937541817</v>
      </c>
      <c r="K76" s="69"/>
    </row>
    <row r="77" spans="1:10" s="353" customFormat="1" ht="15.75">
      <c r="A77" s="336" t="s">
        <v>339</v>
      </c>
      <c r="B77" s="337"/>
      <c r="C77" s="337"/>
      <c r="D77" s="337"/>
      <c r="E77" s="337"/>
      <c r="F77" s="337"/>
      <c r="G77" s="344">
        <f>SUM(G73:G76)</f>
        <v>46091000</v>
      </c>
      <c r="H77" s="344">
        <f>SUM(H73:H76)</f>
        <v>51626361</v>
      </c>
      <c r="I77" s="344">
        <f>SUM(I73:I76)</f>
        <v>49869588</v>
      </c>
      <c r="J77" s="459">
        <f>I77/H77</f>
        <v>0.9659713958921102</v>
      </c>
    </row>
  </sheetData>
  <sheetProtection selectLockedCells="1" selectUnlockedCells="1"/>
  <mergeCells count="8">
    <mergeCell ref="A7:E7"/>
    <mergeCell ref="A55:E55"/>
    <mergeCell ref="A2:G2"/>
    <mergeCell ref="A3:G3"/>
    <mergeCell ref="A4:G4"/>
    <mergeCell ref="A5:E6"/>
    <mergeCell ref="F5:F6"/>
    <mergeCell ref="A1:J1"/>
  </mergeCells>
  <printOptions gridLines="1" headings="1"/>
  <pageMargins left="0.7" right="0.7" top="0.75" bottom="0.75" header="0.5118055555555555" footer="0.5118055555555555"/>
  <pageSetup horizontalDpi="600" verticalDpi="600" orientation="portrait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3"/>
  <sheetViews>
    <sheetView zoomScaleSheetLayoutView="110" zoomScalePageLayoutView="0" workbookViewId="0" topLeftCell="A1">
      <selection activeCell="A1" sqref="A1:E1"/>
    </sheetView>
  </sheetViews>
  <sheetFormatPr defaultColWidth="9.140625" defaultRowHeight="12.75"/>
  <cols>
    <col min="1" max="1" width="54.140625" style="265" customWidth="1"/>
    <col min="2" max="3" width="18.00390625" style="265" customWidth="1"/>
    <col min="4" max="4" width="12.8515625" style="265" customWidth="1"/>
    <col min="5" max="5" width="13.8515625" style="265" customWidth="1"/>
    <col min="6" max="16384" width="9.140625" style="265" customWidth="1"/>
  </cols>
  <sheetData>
    <row r="1" spans="1:5" ht="15.75">
      <c r="A1" s="487" t="s">
        <v>585</v>
      </c>
      <c r="B1" s="487"/>
      <c r="C1" s="487"/>
      <c r="D1" s="487"/>
      <c r="E1" s="487"/>
    </row>
    <row r="2" spans="1:2" s="266" customFormat="1" ht="15.75">
      <c r="A2" s="487"/>
      <c r="B2" s="487"/>
    </row>
    <row r="3" spans="1:2" s="267" customFormat="1" ht="21" customHeight="1">
      <c r="A3" s="488" t="s">
        <v>307</v>
      </c>
      <c r="B3" s="488"/>
    </row>
    <row r="4" spans="1:2" s="267" customFormat="1" ht="23.25" customHeight="1">
      <c r="A4" s="488" t="s">
        <v>303</v>
      </c>
      <c r="B4" s="488"/>
    </row>
    <row r="5" spans="1:3" s="267" customFormat="1" ht="23.25" customHeight="1">
      <c r="A5" s="268"/>
      <c r="B5" s="268"/>
      <c r="C5" s="268"/>
    </row>
    <row r="6" spans="1:5" s="267" customFormat="1" ht="15.75" customHeight="1">
      <c r="A6" s="489" t="s">
        <v>272</v>
      </c>
      <c r="B6" s="269" t="s">
        <v>47</v>
      </c>
      <c r="C6" s="269" t="s">
        <v>47</v>
      </c>
      <c r="D6" s="490" t="s">
        <v>298</v>
      </c>
      <c r="E6" s="486" t="s">
        <v>299</v>
      </c>
    </row>
    <row r="7" spans="1:5" s="267" customFormat="1" ht="39" customHeight="1">
      <c r="A7" s="489"/>
      <c r="B7" s="270" t="s">
        <v>6</v>
      </c>
      <c r="C7" s="270" t="s">
        <v>7</v>
      </c>
      <c r="D7" s="490"/>
      <c r="E7" s="486"/>
    </row>
    <row r="8" spans="1:5" s="267" customFormat="1" ht="23.25" customHeight="1">
      <c r="A8" s="271" t="s">
        <v>340</v>
      </c>
      <c r="B8" s="272">
        <f>SUM(B9:B10)</f>
        <v>0</v>
      </c>
      <c r="C8" s="272">
        <f>SUM(C9:C11)</f>
        <v>336289</v>
      </c>
      <c r="D8" s="272">
        <f>SUM(D9:D11)</f>
        <v>336001</v>
      </c>
      <c r="E8" s="445">
        <f>D8/C8</f>
        <v>0.9991435937541817</v>
      </c>
    </row>
    <row r="9" spans="1:5" s="276" customFormat="1" ht="23.25" customHeight="1">
      <c r="A9" s="274" t="s">
        <v>341</v>
      </c>
      <c r="B9" s="275"/>
      <c r="C9" s="275">
        <f>127560+34441</f>
        <v>162001</v>
      </c>
      <c r="D9" s="275">
        <v>162001</v>
      </c>
      <c r="E9" s="446">
        <f>D9/C9</f>
        <v>1</v>
      </c>
    </row>
    <row r="10" spans="1:5" s="276" customFormat="1" ht="23.25" customHeight="1">
      <c r="A10" s="274" t="s">
        <v>342</v>
      </c>
      <c r="B10" s="275"/>
      <c r="C10" s="275">
        <f>51181+13819</f>
        <v>65000</v>
      </c>
      <c r="D10" s="275">
        <v>65000</v>
      </c>
      <c r="E10" s="446">
        <f>D10/C10</f>
        <v>1</v>
      </c>
    </row>
    <row r="11" spans="1:5" s="276" customFormat="1" ht="23.25" customHeight="1">
      <c r="A11" s="274" t="s">
        <v>343</v>
      </c>
      <c r="B11" s="275"/>
      <c r="C11" s="275">
        <v>109288</v>
      </c>
      <c r="D11" s="275">
        <v>109000</v>
      </c>
      <c r="E11" s="446">
        <f>D11/C11</f>
        <v>0.9973647609984628</v>
      </c>
    </row>
    <row r="12" spans="1:5" s="280" customFormat="1" ht="26.25" customHeight="1">
      <c r="A12" s="277" t="s">
        <v>306</v>
      </c>
      <c r="B12" s="278">
        <f>SUM(B8)</f>
        <v>0</v>
      </c>
      <c r="C12" s="278">
        <f>C8</f>
        <v>336289</v>
      </c>
      <c r="D12" s="278">
        <f>D8</f>
        <v>336001</v>
      </c>
      <c r="E12" s="445">
        <f>D12/C12</f>
        <v>0.9991435937541817</v>
      </c>
    </row>
    <row r="13" s="266" customFormat="1" ht="17.25" customHeight="1">
      <c r="C13" s="354"/>
    </row>
    <row r="14" s="266" customFormat="1" ht="12.75"/>
    <row r="15" s="266" customFormat="1" ht="12.75"/>
  </sheetData>
  <sheetProtection selectLockedCells="1" selectUnlockedCells="1"/>
  <mergeCells count="7">
    <mergeCell ref="E6:E7"/>
    <mergeCell ref="A2:B2"/>
    <mergeCell ref="A3:B3"/>
    <mergeCell ref="A4:B4"/>
    <mergeCell ref="A6:A7"/>
    <mergeCell ref="D6:D7"/>
    <mergeCell ref="A1:E1"/>
  </mergeCells>
  <printOptions gridLines="1" headings="1"/>
  <pageMargins left="0.75" right="0.75" top="1" bottom="1" header="0.5118055555555555" footer="0.5118055555555555"/>
  <pageSetup horizontalDpi="300" verticalDpi="300" orientation="portrait" paperSize="9" scale="9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3"/>
  <sheetViews>
    <sheetView zoomScale="110" zoomScaleNormal="110" zoomScaleSheetLayoutView="110" zoomScalePageLayoutView="0" workbookViewId="0" topLeftCell="A1">
      <pane ySplit="4" topLeftCell="A5" activePane="bottomLeft" state="frozen"/>
      <selection pane="topLeft" activeCell="A1" sqref="A1"/>
      <selection pane="bottomLeft" activeCell="A1" sqref="A1:C1"/>
    </sheetView>
  </sheetViews>
  <sheetFormatPr defaultColWidth="8.8515625" defaultRowHeight="12.75"/>
  <cols>
    <col min="1" max="1" width="8.28125" style="355" customWidth="1"/>
    <col min="2" max="2" width="41.00390625" style="355" customWidth="1"/>
    <col min="3" max="3" width="32.7109375" style="355" customWidth="1"/>
    <col min="4" max="16384" width="8.8515625" style="355" customWidth="1"/>
  </cols>
  <sheetData>
    <row r="1" spans="1:3" ht="12.75">
      <c r="A1" s="498" t="s">
        <v>586</v>
      </c>
      <c r="B1" s="498"/>
      <c r="C1" s="498"/>
    </row>
    <row r="2" spans="1:3" ht="12.75" customHeight="1">
      <c r="A2" s="499" t="s">
        <v>344</v>
      </c>
      <c r="B2" s="499"/>
      <c r="C2" s="499"/>
    </row>
    <row r="3" spans="1:3" ht="15.75">
      <c r="A3" s="356" t="s">
        <v>345</v>
      </c>
      <c r="B3" s="357" t="s">
        <v>272</v>
      </c>
      <c r="C3" s="358" t="s">
        <v>346</v>
      </c>
    </row>
    <row r="4" spans="1:3" ht="15.75">
      <c r="A4" s="356">
        <v>1</v>
      </c>
      <c r="B4" s="357">
        <v>2</v>
      </c>
      <c r="C4" s="358">
        <v>3</v>
      </c>
    </row>
    <row r="5" spans="1:3" ht="12.75">
      <c r="A5" s="359" t="s">
        <v>347</v>
      </c>
      <c r="B5" s="360" t="s">
        <v>348</v>
      </c>
      <c r="C5" s="361">
        <v>69623464</v>
      </c>
    </row>
    <row r="6" spans="1:3" ht="12.75">
      <c r="A6" s="362" t="s">
        <v>349</v>
      </c>
      <c r="B6" s="363" t="s">
        <v>350</v>
      </c>
      <c r="C6" s="364">
        <v>38618872</v>
      </c>
    </row>
    <row r="7" spans="1:3" ht="25.5">
      <c r="A7" s="365" t="s">
        <v>351</v>
      </c>
      <c r="B7" s="366" t="s">
        <v>352</v>
      </c>
      <c r="C7" s="367">
        <v>31004592</v>
      </c>
    </row>
    <row r="8" spans="1:3" ht="12.75">
      <c r="A8" s="362" t="s">
        <v>353</v>
      </c>
      <c r="B8" s="363" t="s">
        <v>354</v>
      </c>
      <c r="C8" s="364">
        <v>24483117</v>
      </c>
    </row>
    <row r="9" spans="1:3" ht="12.75">
      <c r="A9" s="362" t="s">
        <v>355</v>
      </c>
      <c r="B9" s="363" t="s">
        <v>356</v>
      </c>
      <c r="C9" s="364">
        <v>28212033</v>
      </c>
    </row>
    <row r="10" spans="1:3" ht="25.5">
      <c r="A10" s="365" t="s">
        <v>357</v>
      </c>
      <c r="B10" s="366" t="s">
        <v>358</v>
      </c>
      <c r="C10" s="367">
        <v>-3728916</v>
      </c>
    </row>
    <row r="11" spans="1:3" ht="12.75">
      <c r="A11" s="365" t="s">
        <v>359</v>
      </c>
      <c r="B11" s="366" t="s">
        <v>360</v>
      </c>
      <c r="C11" s="367">
        <v>27275676</v>
      </c>
    </row>
    <row r="12" spans="1:3" ht="12.75">
      <c r="A12" s="365" t="s">
        <v>361</v>
      </c>
      <c r="B12" s="366" t="s">
        <v>362</v>
      </c>
      <c r="C12" s="367">
        <v>27275676</v>
      </c>
    </row>
    <row r="13" spans="1:3" ht="12.75">
      <c r="A13" s="368" t="s">
        <v>363</v>
      </c>
      <c r="B13" s="369" t="s">
        <v>364</v>
      </c>
      <c r="C13" s="370">
        <v>27275676</v>
      </c>
    </row>
  </sheetData>
  <sheetProtection selectLockedCells="1" selectUnlockedCells="1"/>
  <mergeCells count="2">
    <mergeCell ref="A1:C1"/>
    <mergeCell ref="A2:C2"/>
  </mergeCells>
  <printOptions/>
  <pageMargins left="0.75" right="0.75" top="1" bottom="1" header="0.5" footer="0.5"/>
  <pageSetup horizontalDpi="300" verticalDpi="300" orientation="portrait" r:id="rId1"/>
  <headerFooter alignWithMargins="0">
    <oddHeader>&amp;RÉrték típus: Forint</oddHeader>
    <oddFooter>&amp;LAdatellenőrző kód: 6011-408-e-3a-4e35-65-75-1d3065-2566422e-40-336c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E58"/>
  <sheetViews>
    <sheetView zoomScaleSheetLayoutView="110" zoomScalePageLayoutView="0" workbookViewId="0" topLeftCell="A1">
      <pane ySplit="4" topLeftCell="A5" activePane="bottomLeft" state="frozen"/>
      <selection pane="topLeft" activeCell="A1" sqref="A1"/>
      <selection pane="bottomLeft" activeCell="A1" sqref="A1:E1"/>
    </sheetView>
  </sheetViews>
  <sheetFormatPr defaultColWidth="8.8515625" defaultRowHeight="12.75"/>
  <cols>
    <col min="1" max="1" width="8.28125" style="355" customWidth="1"/>
    <col min="2" max="2" width="41.00390625" style="355" customWidth="1"/>
    <col min="3" max="3" width="19.8515625" style="355" customWidth="1"/>
    <col min="4" max="4" width="20.7109375" style="355" customWidth="1"/>
    <col min="5" max="5" width="20.8515625" style="355" customWidth="1"/>
    <col min="6" max="16384" width="8.8515625" style="355" customWidth="1"/>
  </cols>
  <sheetData>
    <row r="1" spans="1:5" ht="12.75">
      <c r="A1" s="498" t="s">
        <v>587</v>
      </c>
      <c r="B1" s="498"/>
      <c r="C1" s="498"/>
      <c r="D1" s="498"/>
      <c r="E1" s="498"/>
    </row>
    <row r="2" spans="1:5" ht="12.75" customHeight="1">
      <c r="A2" s="500" t="s">
        <v>365</v>
      </c>
      <c r="B2" s="500"/>
      <c r="C2" s="500"/>
      <c r="D2" s="500"/>
      <c r="E2" s="500"/>
    </row>
    <row r="3" spans="1:5" ht="15.75">
      <c r="A3" s="371" t="s">
        <v>345</v>
      </c>
      <c r="B3" s="371" t="s">
        <v>272</v>
      </c>
      <c r="C3" s="371" t="s">
        <v>366</v>
      </c>
      <c r="D3" s="371" t="s">
        <v>367</v>
      </c>
      <c r="E3" s="371" t="s">
        <v>368</v>
      </c>
    </row>
    <row r="4" spans="1:5" ht="15.75">
      <c r="A4" s="371">
        <v>1</v>
      </c>
      <c r="B4" s="371">
        <v>2</v>
      </c>
      <c r="C4" s="371">
        <v>3</v>
      </c>
      <c r="D4" s="371">
        <v>4</v>
      </c>
      <c r="E4" s="371">
        <v>5</v>
      </c>
    </row>
    <row r="5" spans="1:5" ht="12.75">
      <c r="A5" s="372" t="s">
        <v>349</v>
      </c>
      <c r="B5" s="363" t="s">
        <v>369</v>
      </c>
      <c r="C5" s="373">
        <v>905621</v>
      </c>
      <c r="D5" s="373">
        <v>0</v>
      </c>
      <c r="E5" s="373">
        <v>600700</v>
      </c>
    </row>
    <row r="6" spans="1:5" ht="12.75">
      <c r="A6" s="374" t="s">
        <v>353</v>
      </c>
      <c r="B6" s="366" t="s">
        <v>370</v>
      </c>
      <c r="C6" s="375">
        <v>905621</v>
      </c>
      <c r="D6" s="375">
        <v>0</v>
      </c>
      <c r="E6" s="375">
        <v>600700</v>
      </c>
    </row>
    <row r="7" spans="1:5" ht="25.5">
      <c r="A7" s="372" t="s">
        <v>355</v>
      </c>
      <c r="B7" s="363" t="s">
        <v>371</v>
      </c>
      <c r="C7" s="373">
        <v>261553092</v>
      </c>
      <c r="D7" s="373">
        <v>0</v>
      </c>
      <c r="E7" s="373">
        <v>259926590</v>
      </c>
    </row>
    <row r="8" spans="1:5" ht="12.75">
      <c r="A8" s="372" t="s">
        <v>357</v>
      </c>
      <c r="B8" s="363" t="s">
        <v>372</v>
      </c>
      <c r="C8" s="373">
        <v>4732594</v>
      </c>
      <c r="D8" s="373">
        <v>0</v>
      </c>
      <c r="E8" s="373">
        <v>3056682</v>
      </c>
    </row>
    <row r="9" spans="1:5" ht="12.75">
      <c r="A9" s="374" t="s">
        <v>373</v>
      </c>
      <c r="B9" s="366" t="s">
        <v>374</v>
      </c>
      <c r="C9" s="375">
        <v>266285686</v>
      </c>
      <c r="D9" s="375">
        <v>0</v>
      </c>
      <c r="E9" s="375">
        <v>262983272</v>
      </c>
    </row>
    <row r="10" spans="1:5" ht="25.5">
      <c r="A10" s="372" t="s">
        <v>375</v>
      </c>
      <c r="B10" s="363" t="s">
        <v>376</v>
      </c>
      <c r="C10" s="373">
        <v>10000</v>
      </c>
      <c r="D10" s="373">
        <v>0</v>
      </c>
      <c r="E10" s="373">
        <v>10000</v>
      </c>
    </row>
    <row r="11" spans="1:5" ht="12.75">
      <c r="A11" s="372" t="s">
        <v>377</v>
      </c>
      <c r="B11" s="363" t="s">
        <v>378</v>
      </c>
      <c r="C11" s="373">
        <v>10000</v>
      </c>
      <c r="D11" s="373">
        <v>0</v>
      </c>
      <c r="E11" s="373">
        <v>10000</v>
      </c>
    </row>
    <row r="12" spans="1:5" ht="25.5">
      <c r="A12" s="374" t="s">
        <v>379</v>
      </c>
      <c r="B12" s="366" t="s">
        <v>380</v>
      </c>
      <c r="C12" s="375">
        <v>10000</v>
      </c>
      <c r="D12" s="375">
        <v>0</v>
      </c>
      <c r="E12" s="375">
        <v>10000</v>
      </c>
    </row>
    <row r="13" spans="1:5" ht="25.5">
      <c r="A13" s="372" t="s">
        <v>381</v>
      </c>
      <c r="B13" s="363" t="s">
        <v>382</v>
      </c>
      <c r="C13" s="373">
        <v>12413100</v>
      </c>
      <c r="D13" s="373">
        <v>0</v>
      </c>
      <c r="E13" s="373">
        <v>11974990</v>
      </c>
    </row>
    <row r="14" spans="1:5" ht="12.75">
      <c r="A14" s="372" t="s">
        <v>383</v>
      </c>
      <c r="B14" s="363" t="s">
        <v>384</v>
      </c>
      <c r="C14" s="373">
        <v>12413100</v>
      </c>
      <c r="D14" s="373">
        <v>0</v>
      </c>
      <c r="E14" s="373">
        <v>11974990</v>
      </c>
    </row>
    <row r="15" spans="1:5" ht="25.5">
      <c r="A15" s="374" t="s">
        <v>385</v>
      </c>
      <c r="B15" s="366" t="s">
        <v>386</v>
      </c>
      <c r="C15" s="375">
        <v>12413100</v>
      </c>
      <c r="D15" s="375">
        <v>0</v>
      </c>
      <c r="E15" s="375">
        <v>11974990</v>
      </c>
    </row>
    <row r="16" spans="1:5" ht="38.25">
      <c r="A16" s="374" t="s">
        <v>387</v>
      </c>
      <c r="B16" s="366" t="s">
        <v>388</v>
      </c>
      <c r="C16" s="375">
        <v>279614407</v>
      </c>
      <c r="D16" s="375">
        <v>0</v>
      </c>
      <c r="E16" s="375">
        <v>275568962</v>
      </c>
    </row>
    <row r="17" spans="1:5" ht="12.75">
      <c r="A17" s="372" t="s">
        <v>389</v>
      </c>
      <c r="B17" s="363" t="s">
        <v>390</v>
      </c>
      <c r="C17" s="373">
        <v>522455</v>
      </c>
      <c r="D17" s="373">
        <v>0</v>
      </c>
      <c r="E17" s="373">
        <v>380845</v>
      </c>
    </row>
    <row r="18" spans="1:5" ht="25.5">
      <c r="A18" s="374" t="s">
        <v>391</v>
      </c>
      <c r="B18" s="366" t="s">
        <v>392</v>
      </c>
      <c r="C18" s="375">
        <v>522455</v>
      </c>
      <c r="D18" s="375">
        <v>0</v>
      </c>
      <c r="E18" s="375">
        <v>380845</v>
      </c>
    </row>
    <row r="19" spans="1:5" ht="12.75">
      <c r="A19" s="372" t="s">
        <v>393</v>
      </c>
      <c r="B19" s="363" t="s">
        <v>394</v>
      </c>
      <c r="C19" s="373">
        <v>20984390</v>
      </c>
      <c r="D19" s="373">
        <v>0</v>
      </c>
      <c r="E19" s="373">
        <v>27678388</v>
      </c>
    </row>
    <row r="20" spans="1:5" ht="12.75">
      <c r="A20" s="374" t="s">
        <v>395</v>
      </c>
      <c r="B20" s="366" t="s">
        <v>396</v>
      </c>
      <c r="C20" s="375">
        <v>20984390</v>
      </c>
      <c r="D20" s="375">
        <v>0</v>
      </c>
      <c r="E20" s="375">
        <v>27678388</v>
      </c>
    </row>
    <row r="21" spans="1:5" ht="12.75">
      <c r="A21" s="374" t="s">
        <v>397</v>
      </c>
      <c r="B21" s="366" t="s">
        <v>398</v>
      </c>
      <c r="C21" s="375">
        <v>21506845</v>
      </c>
      <c r="D21" s="375">
        <v>0</v>
      </c>
      <c r="E21" s="375">
        <v>28059233</v>
      </c>
    </row>
    <row r="22" spans="1:5" ht="25.5">
      <c r="A22" s="372" t="s">
        <v>399</v>
      </c>
      <c r="B22" s="363" t="s">
        <v>400</v>
      </c>
      <c r="C22" s="373">
        <v>1117285</v>
      </c>
      <c r="D22" s="373">
        <v>0</v>
      </c>
      <c r="E22" s="373">
        <v>2416297</v>
      </c>
    </row>
    <row r="23" spans="1:5" ht="25.5">
      <c r="A23" s="372" t="s">
        <v>401</v>
      </c>
      <c r="B23" s="363" t="s">
        <v>402</v>
      </c>
      <c r="C23" s="373">
        <v>1117285</v>
      </c>
      <c r="D23" s="373">
        <v>0</v>
      </c>
      <c r="E23" s="373">
        <v>734259</v>
      </c>
    </row>
    <row r="24" spans="1:5" ht="25.5">
      <c r="A24" s="372" t="s">
        <v>403</v>
      </c>
      <c r="B24" s="363" t="s">
        <v>404</v>
      </c>
      <c r="C24" s="373">
        <v>0</v>
      </c>
      <c r="D24" s="373">
        <v>0</v>
      </c>
      <c r="E24" s="373">
        <v>1367270</v>
      </c>
    </row>
    <row r="25" spans="1:5" ht="25.5">
      <c r="A25" s="372" t="s">
        <v>405</v>
      </c>
      <c r="B25" s="363" t="s">
        <v>406</v>
      </c>
      <c r="C25" s="373">
        <v>0</v>
      </c>
      <c r="D25" s="373">
        <v>0</v>
      </c>
      <c r="E25" s="373">
        <v>314768</v>
      </c>
    </row>
    <row r="26" spans="1:5" ht="25.5">
      <c r="A26" s="372" t="s">
        <v>407</v>
      </c>
      <c r="B26" s="363" t="s">
        <v>408</v>
      </c>
      <c r="C26" s="373">
        <v>93845</v>
      </c>
      <c r="D26" s="373">
        <v>0</v>
      </c>
      <c r="E26" s="373">
        <v>168921</v>
      </c>
    </row>
    <row r="27" spans="1:5" ht="51">
      <c r="A27" s="372" t="s">
        <v>409</v>
      </c>
      <c r="B27" s="363" t="s">
        <v>410</v>
      </c>
      <c r="C27" s="373">
        <v>0</v>
      </c>
      <c r="D27" s="373">
        <v>0</v>
      </c>
      <c r="E27" s="373">
        <v>75074</v>
      </c>
    </row>
    <row r="28" spans="1:5" ht="25.5">
      <c r="A28" s="372" t="s">
        <v>411</v>
      </c>
      <c r="B28" s="363" t="s">
        <v>412</v>
      </c>
      <c r="C28" s="373">
        <v>93845</v>
      </c>
      <c r="D28" s="373">
        <v>0</v>
      </c>
      <c r="E28" s="373">
        <v>93845</v>
      </c>
    </row>
    <row r="29" spans="1:5" ht="25.5">
      <c r="A29" s="372" t="s">
        <v>413</v>
      </c>
      <c r="B29" s="363" t="s">
        <v>414</v>
      </c>
      <c r="C29" s="373">
        <v>0</v>
      </c>
      <c r="D29" s="373">
        <v>0</v>
      </c>
      <c r="E29" s="373">
        <v>2</v>
      </c>
    </row>
    <row r="30" spans="1:5" ht="25.5">
      <c r="A30" s="374" t="s">
        <v>415</v>
      </c>
      <c r="B30" s="366" t="s">
        <v>416</v>
      </c>
      <c r="C30" s="375">
        <v>1211130</v>
      </c>
      <c r="D30" s="375">
        <v>0</v>
      </c>
      <c r="E30" s="375">
        <v>2585218</v>
      </c>
    </row>
    <row r="31" spans="1:5" ht="12.75">
      <c r="A31" s="372" t="s">
        <v>417</v>
      </c>
      <c r="B31" s="363" t="s">
        <v>418</v>
      </c>
      <c r="C31" s="373">
        <v>15575</v>
      </c>
      <c r="D31" s="373">
        <v>0</v>
      </c>
      <c r="E31" s="373">
        <v>138163</v>
      </c>
    </row>
    <row r="32" spans="1:5" ht="25.5">
      <c r="A32" s="372" t="s">
        <v>419</v>
      </c>
      <c r="B32" s="363" t="s">
        <v>420</v>
      </c>
      <c r="C32" s="373">
        <v>15575</v>
      </c>
      <c r="D32" s="373">
        <v>0</v>
      </c>
      <c r="E32" s="373">
        <v>138163</v>
      </c>
    </row>
    <row r="33" spans="1:5" ht="12.75">
      <c r="A33" s="372" t="s">
        <v>421</v>
      </c>
      <c r="B33" s="363" t="s">
        <v>422</v>
      </c>
      <c r="C33" s="373">
        <v>55000</v>
      </c>
      <c r="D33" s="373">
        <v>0</v>
      </c>
      <c r="E33" s="373">
        <v>55000</v>
      </c>
    </row>
    <row r="34" spans="1:5" ht="25.5">
      <c r="A34" s="374" t="s">
        <v>423</v>
      </c>
      <c r="B34" s="366" t="s">
        <v>424</v>
      </c>
      <c r="C34" s="375">
        <v>70575</v>
      </c>
      <c r="D34" s="375">
        <v>0</v>
      </c>
      <c r="E34" s="375">
        <v>193163</v>
      </c>
    </row>
    <row r="35" spans="1:5" ht="12.75">
      <c r="A35" s="374" t="s">
        <v>425</v>
      </c>
      <c r="B35" s="366" t="s">
        <v>426</v>
      </c>
      <c r="C35" s="375">
        <v>1281705</v>
      </c>
      <c r="D35" s="375">
        <v>0</v>
      </c>
      <c r="E35" s="375">
        <v>2778381</v>
      </c>
    </row>
    <row r="36" spans="1:5" ht="25.5">
      <c r="A36" s="372" t="s">
        <v>427</v>
      </c>
      <c r="B36" s="363" t="s">
        <v>428</v>
      </c>
      <c r="C36" s="373">
        <v>153680</v>
      </c>
      <c r="D36" s="373">
        <v>0</v>
      </c>
      <c r="E36" s="373">
        <v>0</v>
      </c>
    </row>
    <row r="37" spans="1:5" ht="25.5">
      <c r="A37" s="374" t="s">
        <v>429</v>
      </c>
      <c r="B37" s="366" t="s">
        <v>430</v>
      </c>
      <c r="C37" s="375">
        <v>153680</v>
      </c>
      <c r="D37" s="375">
        <v>0</v>
      </c>
      <c r="E37" s="375">
        <v>0</v>
      </c>
    </row>
    <row r="38" spans="1:5" ht="25.5">
      <c r="A38" s="376" t="s">
        <v>431</v>
      </c>
      <c r="B38" s="377" t="s">
        <v>432</v>
      </c>
      <c r="C38" s="378">
        <v>153680</v>
      </c>
      <c r="D38" s="378">
        <v>0</v>
      </c>
      <c r="E38" s="378">
        <v>0</v>
      </c>
    </row>
    <row r="39" spans="1:5" ht="12.75">
      <c r="A39" s="379" t="s">
        <v>433</v>
      </c>
      <c r="B39" s="380" t="s">
        <v>434</v>
      </c>
      <c r="C39" s="381">
        <v>302556637</v>
      </c>
      <c r="D39" s="381">
        <v>0</v>
      </c>
      <c r="E39" s="382">
        <v>306406576</v>
      </c>
    </row>
    <row r="40" spans="1:5" ht="12.75">
      <c r="A40" s="383" t="s">
        <v>435</v>
      </c>
      <c r="B40" s="360" t="s">
        <v>436</v>
      </c>
      <c r="C40" s="384">
        <v>114112251</v>
      </c>
      <c r="D40" s="384">
        <v>0</v>
      </c>
      <c r="E40" s="384">
        <v>114112251</v>
      </c>
    </row>
    <row r="41" spans="1:5" ht="12.75">
      <c r="A41" s="372" t="s">
        <v>437</v>
      </c>
      <c r="B41" s="363" t="s">
        <v>438</v>
      </c>
      <c r="C41" s="373">
        <v>-1</v>
      </c>
      <c r="D41" s="373">
        <v>0</v>
      </c>
      <c r="E41" s="373">
        <v>-1</v>
      </c>
    </row>
    <row r="42" spans="1:5" ht="25.5">
      <c r="A42" s="372" t="s">
        <v>439</v>
      </c>
      <c r="B42" s="363" t="s">
        <v>440</v>
      </c>
      <c r="C42" s="373">
        <v>3630015</v>
      </c>
      <c r="D42" s="373">
        <v>0</v>
      </c>
      <c r="E42" s="373">
        <v>3630015</v>
      </c>
    </row>
    <row r="43" spans="1:5" ht="12.75">
      <c r="A43" s="372" t="s">
        <v>441</v>
      </c>
      <c r="B43" s="363" t="s">
        <v>442</v>
      </c>
      <c r="C43" s="373">
        <v>5492231</v>
      </c>
      <c r="D43" s="373">
        <v>0</v>
      </c>
      <c r="E43" s="373">
        <v>183174600</v>
      </c>
    </row>
    <row r="44" spans="1:5" ht="12.75">
      <c r="A44" s="372" t="s">
        <v>443</v>
      </c>
      <c r="B44" s="363" t="s">
        <v>444</v>
      </c>
      <c r="C44" s="373">
        <v>177682369</v>
      </c>
      <c r="D44" s="373">
        <v>0</v>
      </c>
      <c r="E44" s="373">
        <v>1747482</v>
      </c>
    </row>
    <row r="45" spans="1:5" ht="12.75">
      <c r="A45" s="374" t="s">
        <v>445</v>
      </c>
      <c r="B45" s="366" t="s">
        <v>446</v>
      </c>
      <c r="C45" s="375">
        <v>300916865</v>
      </c>
      <c r="D45" s="375">
        <v>0</v>
      </c>
      <c r="E45" s="375">
        <v>302664347</v>
      </c>
    </row>
    <row r="46" spans="1:5" ht="25.5">
      <c r="A46" s="372" t="s">
        <v>447</v>
      </c>
      <c r="B46" s="363" t="s">
        <v>448</v>
      </c>
      <c r="C46" s="373">
        <v>0</v>
      </c>
      <c r="D46" s="373">
        <v>0</v>
      </c>
      <c r="E46" s="373">
        <v>257329</v>
      </c>
    </row>
    <row r="47" spans="1:5" ht="25.5">
      <c r="A47" s="372" t="s">
        <v>449</v>
      </c>
      <c r="B47" s="363" t="s">
        <v>450</v>
      </c>
      <c r="C47" s="373">
        <v>0</v>
      </c>
      <c r="D47" s="373">
        <v>0</v>
      </c>
      <c r="E47" s="373">
        <v>550000</v>
      </c>
    </row>
    <row r="48" spans="1:5" ht="25.5">
      <c r="A48" s="374" t="s">
        <v>451</v>
      </c>
      <c r="B48" s="366" t="s">
        <v>452</v>
      </c>
      <c r="C48" s="375">
        <v>0</v>
      </c>
      <c r="D48" s="375">
        <v>0</v>
      </c>
      <c r="E48" s="375">
        <v>807329</v>
      </c>
    </row>
    <row r="49" spans="1:5" ht="38.25">
      <c r="A49" s="372" t="s">
        <v>453</v>
      </c>
      <c r="B49" s="363" t="s">
        <v>454</v>
      </c>
      <c r="C49" s="373">
        <v>1589583</v>
      </c>
      <c r="D49" s="373">
        <v>0</v>
      </c>
      <c r="E49" s="373">
        <v>1613610</v>
      </c>
    </row>
    <row r="50" spans="1:5" ht="38.25">
      <c r="A50" s="372" t="s">
        <v>455</v>
      </c>
      <c r="B50" s="363" t="s">
        <v>456</v>
      </c>
      <c r="C50" s="373">
        <v>1589583</v>
      </c>
      <c r="D50" s="373">
        <v>0</v>
      </c>
      <c r="E50" s="373">
        <v>1613610</v>
      </c>
    </row>
    <row r="51" spans="1:5" ht="25.5">
      <c r="A51" s="374" t="s">
        <v>457</v>
      </c>
      <c r="B51" s="366" t="s">
        <v>458</v>
      </c>
      <c r="C51" s="375">
        <v>1589583</v>
      </c>
      <c r="D51" s="375">
        <v>0</v>
      </c>
      <c r="E51" s="375">
        <v>1613610</v>
      </c>
    </row>
    <row r="52" spans="1:5" ht="12.75">
      <c r="A52" s="372" t="s">
        <v>459</v>
      </c>
      <c r="B52" s="363" t="s">
        <v>460</v>
      </c>
      <c r="C52" s="373">
        <v>9009</v>
      </c>
      <c r="D52" s="373">
        <v>0</v>
      </c>
      <c r="E52" s="373">
        <v>18009</v>
      </c>
    </row>
    <row r="53" spans="1:5" ht="25.5">
      <c r="A53" s="372" t="s">
        <v>461</v>
      </c>
      <c r="B53" s="363" t="s">
        <v>462</v>
      </c>
      <c r="C53" s="373">
        <v>41180</v>
      </c>
      <c r="D53" s="373">
        <v>0</v>
      </c>
      <c r="E53" s="373">
        <v>14676</v>
      </c>
    </row>
    <row r="54" spans="1:5" ht="25.5">
      <c r="A54" s="374" t="s">
        <v>463</v>
      </c>
      <c r="B54" s="366" t="s">
        <v>464</v>
      </c>
      <c r="C54" s="375">
        <v>50189</v>
      </c>
      <c r="D54" s="375">
        <v>0</v>
      </c>
      <c r="E54" s="375">
        <v>32685</v>
      </c>
    </row>
    <row r="55" spans="1:5" ht="12.75">
      <c r="A55" s="374" t="s">
        <v>465</v>
      </c>
      <c r="B55" s="366" t="s">
        <v>466</v>
      </c>
      <c r="C55" s="375">
        <v>1639772</v>
      </c>
      <c r="D55" s="375">
        <v>0</v>
      </c>
      <c r="E55" s="375">
        <v>2453624</v>
      </c>
    </row>
    <row r="56" spans="1:5" ht="25.5">
      <c r="A56" s="372" t="s">
        <v>467</v>
      </c>
      <c r="B56" s="363" t="s">
        <v>468</v>
      </c>
      <c r="C56" s="373">
        <v>0</v>
      </c>
      <c r="D56" s="373">
        <v>0</v>
      </c>
      <c r="E56" s="373">
        <v>1288605</v>
      </c>
    </row>
    <row r="57" spans="1:5" ht="25.5">
      <c r="A57" s="385" t="s">
        <v>469</v>
      </c>
      <c r="B57" s="369" t="s">
        <v>470</v>
      </c>
      <c r="C57" s="386">
        <v>0</v>
      </c>
      <c r="D57" s="386">
        <v>0</v>
      </c>
      <c r="E57" s="386">
        <v>1288605</v>
      </c>
    </row>
    <row r="58" spans="1:5" ht="12.75">
      <c r="A58" s="387" t="s">
        <v>471</v>
      </c>
      <c r="B58" s="388" t="s">
        <v>472</v>
      </c>
      <c r="C58" s="389">
        <v>302556637</v>
      </c>
      <c r="D58" s="389">
        <v>0</v>
      </c>
      <c r="E58" s="390">
        <v>306406576</v>
      </c>
    </row>
  </sheetData>
  <sheetProtection selectLockedCells="1" selectUnlockedCells="1"/>
  <mergeCells count="2">
    <mergeCell ref="A1:E1"/>
    <mergeCell ref="A2:E2"/>
  </mergeCells>
  <printOptions/>
  <pageMargins left="0.75" right="0.75" top="1" bottom="1" header="0.5" footer="0.5"/>
  <pageSetup horizontalDpi="300" verticalDpi="300" orientation="portrait" scale="81" r:id="rId1"/>
  <headerFooter alignWithMargins="0">
    <oddHeader>&amp;RÉrték típus: Forint</oddHeader>
    <oddFooter>&amp;LAdatellenőrző kód: 6011-408-e-3a-4e35-65-75-1d3065-2566422e-40-336c</oddFooter>
  </headerFooter>
  <rowBreaks count="1" manualBreakCount="1">
    <brk id="39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E27"/>
  <sheetViews>
    <sheetView zoomScaleSheetLayoutView="110" zoomScalePageLayoutView="0" workbookViewId="0" topLeftCell="A1">
      <pane ySplit="4" topLeftCell="A5" activePane="bottomLeft" state="frozen"/>
      <selection pane="topLeft" activeCell="A1" sqref="A1"/>
      <selection pane="bottomLeft" activeCell="A1" sqref="A1:E1"/>
    </sheetView>
  </sheetViews>
  <sheetFormatPr defaultColWidth="8.8515625" defaultRowHeight="12.75"/>
  <cols>
    <col min="1" max="1" width="8.28125" style="355" customWidth="1"/>
    <col min="2" max="2" width="41.00390625" style="355" customWidth="1"/>
    <col min="3" max="3" width="22.7109375" style="355" customWidth="1"/>
    <col min="4" max="4" width="19.8515625" style="355" customWidth="1"/>
    <col min="5" max="5" width="21.28125" style="355" customWidth="1"/>
    <col min="6" max="16384" width="8.8515625" style="355" customWidth="1"/>
  </cols>
  <sheetData>
    <row r="1" spans="1:5" ht="18.75" customHeight="1">
      <c r="A1" s="498" t="s">
        <v>588</v>
      </c>
      <c r="B1" s="498"/>
      <c r="C1" s="498"/>
      <c r="D1" s="498"/>
      <c r="E1" s="498"/>
    </row>
    <row r="2" spans="1:5" ht="12.75" customHeight="1">
      <c r="A2" s="499" t="s">
        <v>473</v>
      </c>
      <c r="B2" s="499"/>
      <c r="C2" s="499"/>
      <c r="D2" s="499"/>
      <c r="E2" s="499"/>
    </row>
    <row r="3" spans="1:5" ht="15.75">
      <c r="A3" s="356" t="s">
        <v>345</v>
      </c>
      <c r="B3" s="357" t="s">
        <v>272</v>
      </c>
      <c r="C3" s="357" t="s">
        <v>366</v>
      </c>
      <c r="D3" s="357" t="s">
        <v>367</v>
      </c>
      <c r="E3" s="358" t="s">
        <v>368</v>
      </c>
    </row>
    <row r="4" spans="1:5" ht="15.75">
      <c r="A4" s="391">
        <v>1</v>
      </c>
      <c r="B4" s="392">
        <v>2</v>
      </c>
      <c r="C4" s="392">
        <v>3</v>
      </c>
      <c r="D4" s="392">
        <v>4</v>
      </c>
      <c r="E4" s="393">
        <v>5</v>
      </c>
    </row>
    <row r="5" spans="1:5" ht="12.75">
      <c r="A5" s="394" t="s">
        <v>347</v>
      </c>
      <c r="B5" s="395" t="s">
        <v>474</v>
      </c>
      <c r="C5" s="396">
        <v>6701362</v>
      </c>
      <c r="D5" s="396">
        <v>0</v>
      </c>
      <c r="E5" s="397">
        <v>11316196</v>
      </c>
    </row>
    <row r="6" spans="1:5" ht="25.5">
      <c r="A6" s="398" t="s">
        <v>349</v>
      </c>
      <c r="B6" s="363" t="s">
        <v>475</v>
      </c>
      <c r="C6" s="373">
        <v>316456</v>
      </c>
      <c r="D6" s="373">
        <v>0</v>
      </c>
      <c r="E6" s="399">
        <v>709730</v>
      </c>
    </row>
    <row r="7" spans="1:5" ht="25.5">
      <c r="A7" s="398" t="s">
        <v>351</v>
      </c>
      <c r="B7" s="363" t="s">
        <v>476</v>
      </c>
      <c r="C7" s="373">
        <v>68152</v>
      </c>
      <c r="D7" s="373">
        <v>0</v>
      </c>
      <c r="E7" s="399">
        <v>0</v>
      </c>
    </row>
    <row r="8" spans="1:5" ht="25.5">
      <c r="A8" s="400" t="s">
        <v>353</v>
      </c>
      <c r="B8" s="366" t="s">
        <v>477</v>
      </c>
      <c r="C8" s="375">
        <v>7085970</v>
      </c>
      <c r="D8" s="375">
        <v>0</v>
      </c>
      <c r="E8" s="401">
        <v>12025926</v>
      </c>
    </row>
    <row r="9" spans="1:5" ht="25.5">
      <c r="A9" s="398" t="s">
        <v>478</v>
      </c>
      <c r="B9" s="363" t="s">
        <v>479</v>
      </c>
      <c r="C9" s="373">
        <v>44312171</v>
      </c>
      <c r="D9" s="373">
        <v>0</v>
      </c>
      <c r="E9" s="399">
        <v>46225929</v>
      </c>
    </row>
    <row r="10" spans="1:5" ht="25.5">
      <c r="A10" s="398" t="s">
        <v>480</v>
      </c>
      <c r="B10" s="363" t="s">
        <v>481</v>
      </c>
      <c r="C10" s="373">
        <v>5575597</v>
      </c>
      <c r="D10" s="373">
        <v>0</v>
      </c>
      <c r="E10" s="399">
        <v>4636923</v>
      </c>
    </row>
    <row r="11" spans="1:5" ht="25.5">
      <c r="A11" s="398" t="s">
        <v>373</v>
      </c>
      <c r="B11" s="363" t="s">
        <v>482</v>
      </c>
      <c r="C11" s="373">
        <v>4817977</v>
      </c>
      <c r="D11" s="373">
        <v>0</v>
      </c>
      <c r="E11" s="399">
        <v>5805012</v>
      </c>
    </row>
    <row r="12" spans="1:5" ht="12.75">
      <c r="A12" s="398" t="s">
        <v>375</v>
      </c>
      <c r="B12" s="363" t="s">
        <v>483</v>
      </c>
      <c r="C12" s="373">
        <v>191918769</v>
      </c>
      <c r="D12" s="373">
        <v>0</v>
      </c>
      <c r="E12" s="399">
        <v>135681</v>
      </c>
    </row>
    <row r="13" spans="1:5" ht="25.5">
      <c r="A13" s="400" t="s">
        <v>484</v>
      </c>
      <c r="B13" s="366" t="s">
        <v>485</v>
      </c>
      <c r="C13" s="375">
        <v>246624514</v>
      </c>
      <c r="D13" s="375">
        <v>0</v>
      </c>
      <c r="E13" s="401">
        <v>56803545</v>
      </c>
    </row>
    <row r="14" spans="1:5" ht="12.75">
      <c r="A14" s="398" t="s">
        <v>486</v>
      </c>
      <c r="B14" s="363" t="s">
        <v>487</v>
      </c>
      <c r="C14" s="373">
        <v>2831352</v>
      </c>
      <c r="D14" s="373">
        <v>0</v>
      </c>
      <c r="E14" s="399">
        <v>3830423</v>
      </c>
    </row>
    <row r="15" spans="1:5" ht="12.75">
      <c r="A15" s="398" t="s">
        <v>488</v>
      </c>
      <c r="B15" s="363" t="s">
        <v>489</v>
      </c>
      <c r="C15" s="373">
        <v>4537389</v>
      </c>
      <c r="D15" s="373">
        <v>0</v>
      </c>
      <c r="E15" s="399">
        <v>4024220</v>
      </c>
    </row>
    <row r="16" spans="1:5" ht="12.75">
      <c r="A16" s="400" t="s">
        <v>363</v>
      </c>
      <c r="B16" s="366" t="s">
        <v>490</v>
      </c>
      <c r="C16" s="375">
        <v>7368741</v>
      </c>
      <c r="D16" s="375">
        <v>0</v>
      </c>
      <c r="E16" s="401">
        <v>7854643</v>
      </c>
    </row>
    <row r="17" spans="1:5" ht="12.75">
      <c r="A17" s="398" t="s">
        <v>491</v>
      </c>
      <c r="B17" s="363" t="s">
        <v>492</v>
      </c>
      <c r="C17" s="373">
        <v>8122602</v>
      </c>
      <c r="D17" s="373">
        <v>0</v>
      </c>
      <c r="E17" s="399">
        <v>10117646</v>
      </c>
    </row>
    <row r="18" spans="1:5" ht="12.75">
      <c r="A18" s="398" t="s">
        <v>493</v>
      </c>
      <c r="B18" s="363" t="s">
        <v>494</v>
      </c>
      <c r="C18" s="373">
        <v>3815985</v>
      </c>
      <c r="D18" s="373">
        <v>0</v>
      </c>
      <c r="E18" s="399">
        <v>4626420</v>
      </c>
    </row>
    <row r="19" spans="1:5" ht="12.75">
      <c r="A19" s="398" t="s">
        <v>495</v>
      </c>
      <c r="B19" s="363" t="s">
        <v>496</v>
      </c>
      <c r="C19" s="373">
        <v>2709149</v>
      </c>
      <c r="D19" s="373">
        <v>0</v>
      </c>
      <c r="E19" s="399">
        <v>2450885</v>
      </c>
    </row>
    <row r="20" spans="1:5" ht="12.75">
      <c r="A20" s="400" t="s">
        <v>379</v>
      </c>
      <c r="B20" s="366" t="s">
        <v>497</v>
      </c>
      <c r="C20" s="375">
        <v>14647736</v>
      </c>
      <c r="D20" s="375">
        <v>0</v>
      </c>
      <c r="E20" s="401">
        <v>17194951</v>
      </c>
    </row>
    <row r="21" spans="1:5" ht="12.75">
      <c r="A21" s="400" t="s">
        <v>381</v>
      </c>
      <c r="B21" s="366" t="s">
        <v>498</v>
      </c>
      <c r="C21" s="375">
        <v>18357290</v>
      </c>
      <c r="D21" s="375">
        <v>0</v>
      </c>
      <c r="E21" s="401">
        <v>10159666</v>
      </c>
    </row>
    <row r="22" spans="1:5" ht="12.75">
      <c r="A22" s="400" t="s">
        <v>499</v>
      </c>
      <c r="B22" s="366" t="s">
        <v>500</v>
      </c>
      <c r="C22" s="375">
        <v>35654870</v>
      </c>
      <c r="D22" s="375">
        <v>0</v>
      </c>
      <c r="E22" s="401">
        <v>31872755</v>
      </c>
    </row>
    <row r="23" spans="1:5" ht="25.5">
      <c r="A23" s="400" t="s">
        <v>383</v>
      </c>
      <c r="B23" s="366" t="s">
        <v>501</v>
      </c>
      <c r="C23" s="375">
        <v>177681847</v>
      </c>
      <c r="D23" s="375">
        <v>0</v>
      </c>
      <c r="E23" s="401">
        <v>1747456</v>
      </c>
    </row>
    <row r="24" spans="1:5" ht="25.5">
      <c r="A24" s="398" t="s">
        <v>387</v>
      </c>
      <c r="B24" s="363" t="s">
        <v>502</v>
      </c>
      <c r="C24" s="373">
        <v>522</v>
      </c>
      <c r="D24" s="373">
        <v>0</v>
      </c>
      <c r="E24" s="399">
        <v>26</v>
      </c>
    </row>
    <row r="25" spans="1:5" ht="25.5">
      <c r="A25" s="400" t="s">
        <v>503</v>
      </c>
      <c r="B25" s="366" t="s">
        <v>504</v>
      </c>
      <c r="C25" s="375">
        <v>522</v>
      </c>
      <c r="D25" s="375">
        <v>0</v>
      </c>
      <c r="E25" s="401">
        <v>26</v>
      </c>
    </row>
    <row r="26" spans="1:5" ht="25.5">
      <c r="A26" s="402" t="s">
        <v>505</v>
      </c>
      <c r="B26" s="369" t="s">
        <v>506</v>
      </c>
      <c r="C26" s="386">
        <v>522</v>
      </c>
      <c r="D26" s="386">
        <v>0</v>
      </c>
      <c r="E26" s="403">
        <v>26</v>
      </c>
    </row>
    <row r="27" spans="1:5" ht="12.75">
      <c r="A27" s="387" t="s">
        <v>507</v>
      </c>
      <c r="B27" s="388" t="s">
        <v>508</v>
      </c>
      <c r="C27" s="389">
        <v>177682369</v>
      </c>
      <c r="D27" s="389">
        <v>0</v>
      </c>
      <c r="E27" s="390">
        <v>1747482</v>
      </c>
    </row>
  </sheetData>
  <sheetProtection selectLockedCells="1" selectUnlockedCells="1"/>
  <mergeCells count="2">
    <mergeCell ref="A1:E1"/>
    <mergeCell ref="A2:E2"/>
  </mergeCells>
  <printOptions/>
  <pageMargins left="0.75" right="0.75" top="1" bottom="1" header="0.5" footer="0.5"/>
  <pageSetup horizontalDpi="300" verticalDpi="300" orientation="portrait" scale="80" r:id="rId1"/>
  <headerFooter alignWithMargins="0">
    <oddHeader>&amp;RÉrték típus: Forint</oddHeader>
    <oddFooter>&amp;LAdatellenőrző kód: 6011-408-e-3a-4e35-65-75-1d3065-2566422e-40-336c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I18"/>
  <sheetViews>
    <sheetView zoomScaleSheetLayoutView="110" zoomScalePageLayoutView="0" workbookViewId="0" topLeftCell="A1">
      <pane ySplit="4" topLeftCell="A5" activePane="bottomLeft" state="frozen"/>
      <selection pane="topLeft" activeCell="A1" sqref="A1"/>
      <selection pane="bottomLeft" activeCell="A1" sqref="A1:I1"/>
    </sheetView>
  </sheetViews>
  <sheetFormatPr defaultColWidth="8.8515625" defaultRowHeight="12.75"/>
  <cols>
    <col min="1" max="1" width="8.28125" style="355" customWidth="1"/>
    <col min="2" max="2" width="38.8515625" style="355" customWidth="1"/>
    <col min="3" max="3" width="15.421875" style="355" customWidth="1"/>
    <col min="4" max="4" width="16.7109375" style="355" customWidth="1"/>
    <col min="5" max="5" width="17.140625" style="355" customWidth="1"/>
    <col min="6" max="6" width="15.7109375" style="355" customWidth="1"/>
    <col min="7" max="7" width="16.140625" style="355" customWidth="1"/>
    <col min="8" max="8" width="17.140625" style="355" customWidth="1"/>
    <col min="9" max="9" width="18.7109375" style="355" customWidth="1"/>
    <col min="10" max="16384" width="8.8515625" style="355" customWidth="1"/>
  </cols>
  <sheetData>
    <row r="1" spans="1:9" ht="12.75">
      <c r="A1" s="501" t="s">
        <v>589</v>
      </c>
      <c r="B1" s="501"/>
      <c r="C1" s="501"/>
      <c r="D1" s="501"/>
      <c r="E1" s="501"/>
      <c r="F1" s="501"/>
      <c r="G1" s="501"/>
      <c r="H1" s="501"/>
      <c r="I1" s="501"/>
    </row>
    <row r="2" spans="1:9" ht="24" customHeight="1">
      <c r="A2" s="502" t="s">
        <v>509</v>
      </c>
      <c r="B2" s="502"/>
      <c r="C2" s="502"/>
      <c r="D2" s="502"/>
      <c r="E2" s="502"/>
      <c r="F2" s="502"/>
      <c r="G2" s="502"/>
      <c r="H2" s="502"/>
      <c r="I2" s="502"/>
    </row>
    <row r="3" spans="1:9" s="405" customFormat="1" ht="60" customHeight="1">
      <c r="A3" s="404" t="s">
        <v>345</v>
      </c>
      <c r="B3" s="404" t="s">
        <v>272</v>
      </c>
      <c r="C3" s="404" t="s">
        <v>510</v>
      </c>
      <c r="D3" s="404" t="s">
        <v>511</v>
      </c>
      <c r="E3" s="404" t="s">
        <v>512</v>
      </c>
      <c r="F3" s="404" t="s">
        <v>513</v>
      </c>
      <c r="G3" s="404" t="s">
        <v>514</v>
      </c>
      <c r="H3" s="404" t="s">
        <v>515</v>
      </c>
      <c r="I3" s="404" t="s">
        <v>516</v>
      </c>
    </row>
    <row r="4" spans="1:9" s="405" customFormat="1" ht="15">
      <c r="A4" s="404">
        <v>1</v>
      </c>
      <c r="B4" s="404">
        <v>2</v>
      </c>
      <c r="C4" s="404">
        <v>3</v>
      </c>
      <c r="D4" s="404">
        <v>4</v>
      </c>
      <c r="E4" s="404">
        <v>5</v>
      </c>
      <c r="F4" s="404">
        <v>6</v>
      </c>
      <c r="G4" s="404">
        <v>7</v>
      </c>
      <c r="H4" s="404">
        <v>8</v>
      </c>
      <c r="I4" s="404">
        <v>9</v>
      </c>
    </row>
    <row r="5" spans="1:9" ht="25.5">
      <c r="A5" s="406" t="s">
        <v>347</v>
      </c>
      <c r="B5" s="407" t="s">
        <v>517</v>
      </c>
      <c r="C5" s="408">
        <v>1524000</v>
      </c>
      <c r="D5" s="408">
        <v>301794868</v>
      </c>
      <c r="E5" s="408">
        <v>10845915</v>
      </c>
      <c r="F5" s="408">
        <v>0</v>
      </c>
      <c r="G5" s="408">
        <v>0</v>
      </c>
      <c r="H5" s="408">
        <v>14603649</v>
      </c>
      <c r="I5" s="409">
        <v>328768432</v>
      </c>
    </row>
    <row r="6" spans="1:9" ht="12.75">
      <c r="A6" s="410" t="s">
        <v>351</v>
      </c>
      <c r="B6" s="411" t="s">
        <v>518</v>
      </c>
      <c r="C6" s="412">
        <v>0</v>
      </c>
      <c r="D6" s="412">
        <v>0</v>
      </c>
      <c r="E6" s="412">
        <v>0</v>
      </c>
      <c r="F6" s="412">
        <v>0</v>
      </c>
      <c r="G6" s="412">
        <v>6114221</v>
      </c>
      <c r="H6" s="412">
        <v>0</v>
      </c>
      <c r="I6" s="413">
        <v>6114221</v>
      </c>
    </row>
    <row r="7" spans="1:9" ht="12.75">
      <c r="A7" s="410" t="s">
        <v>353</v>
      </c>
      <c r="B7" s="411" t="s">
        <v>519</v>
      </c>
      <c r="C7" s="412">
        <v>0</v>
      </c>
      <c r="D7" s="412">
        <v>6114221</v>
      </c>
      <c r="E7" s="412">
        <v>0</v>
      </c>
      <c r="F7" s="412">
        <v>0</v>
      </c>
      <c r="G7" s="412">
        <v>0</v>
      </c>
      <c r="H7" s="412">
        <v>0</v>
      </c>
      <c r="I7" s="413">
        <v>6114221</v>
      </c>
    </row>
    <row r="8" spans="1:9" ht="12.75">
      <c r="A8" s="410" t="s">
        <v>359</v>
      </c>
      <c r="B8" s="411" t="s">
        <v>520</v>
      </c>
      <c r="C8" s="412">
        <v>0</v>
      </c>
      <c r="D8" s="412">
        <v>0</v>
      </c>
      <c r="E8" s="412">
        <v>346531</v>
      </c>
      <c r="F8" s="412">
        <v>0</v>
      </c>
      <c r="G8" s="412">
        <v>0</v>
      </c>
      <c r="H8" s="412">
        <v>0</v>
      </c>
      <c r="I8" s="413">
        <v>346531</v>
      </c>
    </row>
    <row r="9" spans="1:9" ht="12.75">
      <c r="A9" s="414" t="s">
        <v>478</v>
      </c>
      <c r="B9" s="415" t="s">
        <v>521</v>
      </c>
      <c r="C9" s="416">
        <v>0</v>
      </c>
      <c r="D9" s="416">
        <v>6114221</v>
      </c>
      <c r="E9" s="416">
        <v>346531</v>
      </c>
      <c r="F9" s="416">
        <v>0</v>
      </c>
      <c r="G9" s="416">
        <v>6114221</v>
      </c>
      <c r="H9" s="416">
        <v>0</v>
      </c>
      <c r="I9" s="417">
        <v>12574973</v>
      </c>
    </row>
    <row r="10" spans="1:9" ht="12.75">
      <c r="A10" s="410" t="s">
        <v>486</v>
      </c>
      <c r="B10" s="411" t="s">
        <v>522</v>
      </c>
      <c r="C10" s="412">
        <v>0</v>
      </c>
      <c r="D10" s="412">
        <v>0</v>
      </c>
      <c r="E10" s="412">
        <v>346531</v>
      </c>
      <c r="F10" s="412">
        <v>0</v>
      </c>
      <c r="G10" s="412">
        <v>6114221</v>
      </c>
      <c r="H10" s="412">
        <v>0</v>
      </c>
      <c r="I10" s="413">
        <v>6460752</v>
      </c>
    </row>
    <row r="11" spans="1:9" ht="12.75">
      <c r="A11" s="414" t="s">
        <v>488</v>
      </c>
      <c r="B11" s="415" t="s">
        <v>523</v>
      </c>
      <c r="C11" s="416">
        <v>0</v>
      </c>
      <c r="D11" s="416">
        <v>0</v>
      </c>
      <c r="E11" s="416">
        <v>346531</v>
      </c>
      <c r="F11" s="416">
        <v>0</v>
      </c>
      <c r="G11" s="416">
        <v>6114221</v>
      </c>
      <c r="H11" s="416">
        <v>0</v>
      </c>
      <c r="I11" s="417">
        <v>6460752</v>
      </c>
    </row>
    <row r="12" spans="1:9" ht="12.75">
      <c r="A12" s="414" t="s">
        <v>361</v>
      </c>
      <c r="B12" s="415" t="s">
        <v>524</v>
      </c>
      <c r="C12" s="416">
        <v>1524000</v>
      </c>
      <c r="D12" s="416">
        <v>307909089</v>
      </c>
      <c r="E12" s="416">
        <v>10845915</v>
      </c>
      <c r="F12" s="416">
        <v>0</v>
      </c>
      <c r="G12" s="416">
        <v>0</v>
      </c>
      <c r="H12" s="416">
        <v>14603649</v>
      </c>
      <c r="I12" s="417">
        <v>334882653</v>
      </c>
    </row>
    <row r="13" spans="1:9" ht="12.75">
      <c r="A13" s="414" t="s">
        <v>377</v>
      </c>
      <c r="B13" s="415" t="s">
        <v>525</v>
      </c>
      <c r="C13" s="416">
        <v>618379</v>
      </c>
      <c r="D13" s="416">
        <v>40241776</v>
      </c>
      <c r="E13" s="416">
        <v>6113321</v>
      </c>
      <c r="F13" s="416">
        <v>0</v>
      </c>
      <c r="G13" s="416">
        <v>0</v>
      </c>
      <c r="H13" s="416">
        <v>2190549</v>
      </c>
      <c r="I13" s="417">
        <v>49164025</v>
      </c>
    </row>
    <row r="14" spans="1:9" ht="12.75">
      <c r="A14" s="410" t="s">
        <v>363</v>
      </c>
      <c r="B14" s="411" t="s">
        <v>526</v>
      </c>
      <c r="C14" s="412">
        <v>304921</v>
      </c>
      <c r="D14" s="412">
        <v>7740723</v>
      </c>
      <c r="E14" s="412">
        <v>1675912</v>
      </c>
      <c r="F14" s="412">
        <v>0</v>
      </c>
      <c r="G14" s="412">
        <v>0</v>
      </c>
      <c r="H14" s="412">
        <v>438110</v>
      </c>
      <c r="I14" s="413">
        <v>10159666</v>
      </c>
    </row>
    <row r="15" spans="1:9" ht="25.5">
      <c r="A15" s="414" t="s">
        <v>493</v>
      </c>
      <c r="B15" s="415" t="s">
        <v>527</v>
      </c>
      <c r="C15" s="416">
        <v>923300</v>
      </c>
      <c r="D15" s="416">
        <v>47982499</v>
      </c>
      <c r="E15" s="416">
        <v>7789233</v>
      </c>
      <c r="F15" s="416">
        <v>0</v>
      </c>
      <c r="G15" s="416">
        <v>0</v>
      </c>
      <c r="H15" s="416">
        <v>2628659</v>
      </c>
      <c r="I15" s="417">
        <v>59323691</v>
      </c>
    </row>
    <row r="16" spans="1:9" ht="12.75">
      <c r="A16" s="414" t="s">
        <v>383</v>
      </c>
      <c r="B16" s="415" t="s">
        <v>528</v>
      </c>
      <c r="C16" s="416">
        <v>923300</v>
      </c>
      <c r="D16" s="416">
        <v>47982499</v>
      </c>
      <c r="E16" s="416">
        <v>7789233</v>
      </c>
      <c r="F16" s="416">
        <v>0</v>
      </c>
      <c r="G16" s="416">
        <v>0</v>
      </c>
      <c r="H16" s="416">
        <v>2628659</v>
      </c>
      <c r="I16" s="417">
        <v>59323691</v>
      </c>
    </row>
    <row r="17" spans="1:9" ht="12.75">
      <c r="A17" s="414" t="s">
        <v>529</v>
      </c>
      <c r="B17" s="415" t="s">
        <v>530</v>
      </c>
      <c r="C17" s="416">
        <v>600700</v>
      </c>
      <c r="D17" s="416">
        <v>259926590</v>
      </c>
      <c r="E17" s="416">
        <v>3056682</v>
      </c>
      <c r="F17" s="416">
        <v>0</v>
      </c>
      <c r="G17" s="416">
        <v>0</v>
      </c>
      <c r="H17" s="416">
        <v>11974990</v>
      </c>
      <c r="I17" s="417">
        <v>275558962</v>
      </c>
    </row>
    <row r="18" spans="1:9" ht="12.75">
      <c r="A18" s="418" t="s">
        <v>531</v>
      </c>
      <c r="B18" s="419" t="s">
        <v>532</v>
      </c>
      <c r="C18" s="420">
        <v>600000</v>
      </c>
      <c r="D18" s="420">
        <v>0</v>
      </c>
      <c r="E18" s="420">
        <v>2313213</v>
      </c>
      <c r="F18" s="420">
        <v>0</v>
      </c>
      <c r="G18" s="420">
        <v>0</v>
      </c>
      <c r="H18" s="420">
        <v>0</v>
      </c>
      <c r="I18" s="421">
        <v>2913213</v>
      </c>
    </row>
  </sheetData>
  <sheetProtection selectLockedCells="1" selectUnlockedCells="1"/>
  <mergeCells count="2">
    <mergeCell ref="A1:I1"/>
    <mergeCell ref="A2:I2"/>
  </mergeCells>
  <printOptions/>
  <pageMargins left="0.75" right="0.75" top="1" bottom="1" header="0.5" footer="0.5"/>
  <pageSetup horizontalDpi="300" verticalDpi="300" orientation="landscape" scale="70" r:id="rId1"/>
  <headerFooter alignWithMargins="0">
    <oddHeader>&amp;RÉrték típus: Forint</oddHeader>
    <oddFooter>&amp;LAdatellenőrző kód: 6011-408-e-3a-4e35-65-75-1d3065-2566422e-40-336c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L15"/>
  <sheetViews>
    <sheetView zoomScaleSheetLayoutView="110" zoomScalePageLayoutView="0" workbookViewId="0" topLeftCell="A1">
      <pane ySplit="4" topLeftCell="A14" activePane="bottomLeft" state="frozen"/>
      <selection pane="topLeft" activeCell="A1" sqref="A1"/>
      <selection pane="bottomLeft" activeCell="A1" sqref="A1:L1"/>
    </sheetView>
  </sheetViews>
  <sheetFormatPr defaultColWidth="8.8515625" defaultRowHeight="12.75"/>
  <cols>
    <col min="1" max="1" width="8.28125" style="355" customWidth="1"/>
    <col min="2" max="2" width="41.00390625" style="355" customWidth="1"/>
    <col min="3" max="3" width="17.28125" style="355" customWidth="1"/>
    <col min="4" max="4" width="17.140625" style="355" customWidth="1"/>
    <col min="5" max="5" width="16.421875" style="355" customWidth="1"/>
    <col min="6" max="6" width="15.8515625" style="355" customWidth="1"/>
    <col min="7" max="7" width="15.7109375" style="355" customWidth="1"/>
    <col min="8" max="8" width="12.421875" style="355" customWidth="1"/>
    <col min="9" max="9" width="12.7109375" style="355" customWidth="1"/>
    <col min="10" max="10" width="13.7109375" style="355" customWidth="1"/>
    <col min="11" max="12" width="15.00390625" style="355" customWidth="1"/>
    <col min="13" max="16384" width="8.8515625" style="355" customWidth="1"/>
  </cols>
  <sheetData>
    <row r="1" spans="1:12" ht="12.75">
      <c r="A1" s="498" t="s">
        <v>590</v>
      </c>
      <c r="B1" s="498"/>
      <c r="C1" s="498"/>
      <c r="D1" s="498"/>
      <c r="E1" s="498"/>
      <c r="F1" s="498"/>
      <c r="G1" s="498"/>
      <c r="H1" s="498"/>
      <c r="I1" s="498"/>
      <c r="J1" s="498"/>
      <c r="K1" s="498"/>
      <c r="L1" s="498"/>
    </row>
    <row r="2" spans="1:12" ht="22.5" customHeight="1">
      <c r="A2" s="499" t="s">
        <v>533</v>
      </c>
      <c r="B2" s="499"/>
      <c r="C2" s="499"/>
      <c r="D2" s="499"/>
      <c r="E2" s="499"/>
      <c r="F2" s="499"/>
      <c r="G2" s="499"/>
      <c r="H2" s="499"/>
      <c r="I2" s="499"/>
      <c r="J2" s="499"/>
      <c r="K2" s="499"/>
      <c r="L2" s="499"/>
    </row>
    <row r="3" spans="1:12" ht="90" customHeight="1">
      <c r="A3" s="356" t="s">
        <v>345</v>
      </c>
      <c r="B3" s="357" t="s">
        <v>272</v>
      </c>
      <c r="C3" s="357" t="s">
        <v>534</v>
      </c>
      <c r="D3" s="357" t="s">
        <v>145</v>
      </c>
      <c r="E3" s="357" t="s">
        <v>535</v>
      </c>
      <c r="F3" s="357" t="s">
        <v>536</v>
      </c>
      <c r="G3" s="357" t="s">
        <v>537</v>
      </c>
      <c r="H3" s="357" t="s">
        <v>538</v>
      </c>
      <c r="I3" s="357" t="s">
        <v>539</v>
      </c>
      <c r="J3" s="357" t="s">
        <v>540</v>
      </c>
      <c r="K3" s="357" t="s">
        <v>541</v>
      </c>
      <c r="L3" s="358" t="s">
        <v>542</v>
      </c>
    </row>
    <row r="4" spans="1:12" ht="15.75">
      <c r="A4" s="391">
        <v>1</v>
      </c>
      <c r="B4" s="392">
        <v>2</v>
      </c>
      <c r="C4" s="392">
        <v>3</v>
      </c>
      <c r="D4" s="392">
        <v>4</v>
      </c>
      <c r="E4" s="392">
        <v>5</v>
      </c>
      <c r="F4" s="392">
        <v>6</v>
      </c>
      <c r="G4" s="392">
        <v>7</v>
      </c>
      <c r="H4" s="392">
        <v>8</v>
      </c>
      <c r="I4" s="392">
        <v>9</v>
      </c>
      <c r="J4" s="392">
        <v>10</v>
      </c>
      <c r="K4" s="392">
        <v>11</v>
      </c>
      <c r="L4" s="393">
        <v>12</v>
      </c>
    </row>
    <row r="5" spans="1:12" ht="12.75">
      <c r="A5" s="422" t="s">
        <v>531</v>
      </c>
      <c r="B5" s="423" t="s">
        <v>543</v>
      </c>
      <c r="C5" s="424">
        <v>1</v>
      </c>
      <c r="D5" s="424">
        <v>2738287</v>
      </c>
      <c r="E5" s="424">
        <v>30075</v>
      </c>
      <c r="F5" s="424">
        <v>0</v>
      </c>
      <c r="G5" s="424">
        <v>0</v>
      </c>
      <c r="H5" s="424">
        <v>0</v>
      </c>
      <c r="I5" s="424">
        <v>0</v>
      </c>
      <c r="J5" s="424">
        <v>0</v>
      </c>
      <c r="K5" s="424">
        <v>20400</v>
      </c>
      <c r="L5" s="424">
        <v>0</v>
      </c>
    </row>
    <row r="6" spans="1:12" ht="25.5">
      <c r="A6" s="425" t="s">
        <v>544</v>
      </c>
      <c r="B6" s="426" t="s">
        <v>545</v>
      </c>
      <c r="C6" s="427">
        <v>1</v>
      </c>
      <c r="D6" s="427">
        <v>2738287</v>
      </c>
      <c r="E6" s="427">
        <v>30075</v>
      </c>
      <c r="F6" s="427">
        <v>0</v>
      </c>
      <c r="G6" s="427">
        <v>0</v>
      </c>
      <c r="H6" s="427">
        <v>0</v>
      </c>
      <c r="I6" s="427">
        <v>0</v>
      </c>
      <c r="J6" s="427">
        <v>0</v>
      </c>
      <c r="K6" s="427">
        <v>20400</v>
      </c>
      <c r="L6" s="427">
        <v>0</v>
      </c>
    </row>
    <row r="7" spans="1:12" ht="38.25">
      <c r="A7" s="422" t="s">
        <v>399</v>
      </c>
      <c r="B7" s="423" t="s">
        <v>546</v>
      </c>
      <c r="C7" s="424">
        <v>1</v>
      </c>
      <c r="D7" s="424">
        <v>2217832</v>
      </c>
      <c r="E7" s="424">
        <v>30075</v>
      </c>
      <c r="F7" s="424">
        <v>0</v>
      </c>
      <c r="G7" s="424">
        <v>0</v>
      </c>
      <c r="H7" s="424">
        <v>0</v>
      </c>
      <c r="I7" s="424">
        <v>0</v>
      </c>
      <c r="J7" s="424">
        <v>0</v>
      </c>
      <c r="K7" s="424">
        <v>36000</v>
      </c>
      <c r="L7" s="424">
        <v>0</v>
      </c>
    </row>
    <row r="8" spans="1:12" ht="12.75">
      <c r="A8" s="422" t="s">
        <v>547</v>
      </c>
      <c r="B8" s="423" t="s">
        <v>548</v>
      </c>
      <c r="C8" s="424">
        <v>4</v>
      </c>
      <c r="D8" s="424">
        <v>3994479</v>
      </c>
      <c r="E8" s="424">
        <v>0</v>
      </c>
      <c r="F8" s="424">
        <v>0</v>
      </c>
      <c r="G8" s="424">
        <v>0</v>
      </c>
      <c r="H8" s="424">
        <v>0</v>
      </c>
      <c r="I8" s="424">
        <v>0</v>
      </c>
      <c r="J8" s="424">
        <v>0</v>
      </c>
      <c r="K8" s="424">
        <v>16553</v>
      </c>
      <c r="L8" s="424">
        <v>0</v>
      </c>
    </row>
    <row r="9" spans="1:12" ht="25.5">
      <c r="A9" s="425" t="s">
        <v>401</v>
      </c>
      <c r="B9" s="426" t="s">
        <v>549</v>
      </c>
      <c r="C9" s="427">
        <v>5</v>
      </c>
      <c r="D9" s="427">
        <v>6212311</v>
      </c>
      <c r="E9" s="427">
        <v>30075</v>
      </c>
      <c r="F9" s="427">
        <v>0</v>
      </c>
      <c r="G9" s="427">
        <v>0</v>
      </c>
      <c r="H9" s="427">
        <v>0</v>
      </c>
      <c r="I9" s="427">
        <v>0</v>
      </c>
      <c r="J9" s="427">
        <v>0</v>
      </c>
      <c r="K9" s="427">
        <v>52553</v>
      </c>
      <c r="L9" s="427">
        <v>0</v>
      </c>
    </row>
    <row r="10" spans="1:12" ht="12.75">
      <c r="A10" s="422" t="s">
        <v>550</v>
      </c>
      <c r="B10" s="423" t="s">
        <v>551</v>
      </c>
      <c r="C10" s="424">
        <v>1</v>
      </c>
      <c r="D10" s="424">
        <v>0</v>
      </c>
      <c r="E10" s="424">
        <v>0</v>
      </c>
      <c r="F10" s="424">
        <v>0</v>
      </c>
      <c r="G10" s="424">
        <v>0</v>
      </c>
      <c r="H10" s="424">
        <v>0</v>
      </c>
      <c r="I10" s="424">
        <v>0</v>
      </c>
      <c r="J10" s="424">
        <v>0</v>
      </c>
      <c r="K10" s="424">
        <v>0</v>
      </c>
      <c r="L10" s="424">
        <v>2290144</v>
      </c>
    </row>
    <row r="11" spans="1:12" ht="25.5">
      <c r="A11" s="422" t="s">
        <v>552</v>
      </c>
      <c r="B11" s="423" t="s">
        <v>553</v>
      </c>
      <c r="C11" s="424">
        <v>3</v>
      </c>
      <c r="D11" s="424">
        <v>0</v>
      </c>
      <c r="E11" s="424">
        <v>0</v>
      </c>
      <c r="F11" s="424">
        <v>0</v>
      </c>
      <c r="G11" s="424">
        <v>0</v>
      </c>
      <c r="H11" s="424">
        <v>0</v>
      </c>
      <c r="I11" s="424">
        <v>0</v>
      </c>
      <c r="J11" s="424">
        <v>0</v>
      </c>
      <c r="K11" s="424">
        <v>0</v>
      </c>
      <c r="L11" s="424">
        <v>1440000</v>
      </c>
    </row>
    <row r="12" spans="1:12" ht="25.5">
      <c r="A12" s="422" t="s">
        <v>554</v>
      </c>
      <c r="B12" s="423" t="s">
        <v>555</v>
      </c>
      <c r="C12" s="424">
        <v>1</v>
      </c>
      <c r="D12" s="424">
        <v>0</v>
      </c>
      <c r="E12" s="424">
        <v>0</v>
      </c>
      <c r="F12" s="424">
        <v>0</v>
      </c>
      <c r="G12" s="424">
        <v>0</v>
      </c>
      <c r="H12" s="424">
        <v>0</v>
      </c>
      <c r="I12" s="424">
        <v>0</v>
      </c>
      <c r="J12" s="424">
        <v>0</v>
      </c>
      <c r="K12" s="424">
        <v>0</v>
      </c>
      <c r="L12" s="424">
        <v>823323</v>
      </c>
    </row>
    <row r="13" spans="1:12" ht="25.5">
      <c r="A13" s="425" t="s">
        <v>413</v>
      </c>
      <c r="B13" s="426" t="s">
        <v>556</v>
      </c>
      <c r="C13" s="427">
        <v>5</v>
      </c>
      <c r="D13" s="427">
        <v>0</v>
      </c>
      <c r="E13" s="427">
        <v>0</v>
      </c>
      <c r="F13" s="427">
        <v>0</v>
      </c>
      <c r="G13" s="427">
        <v>0</v>
      </c>
      <c r="H13" s="427">
        <v>0</v>
      </c>
      <c r="I13" s="427">
        <v>0</v>
      </c>
      <c r="J13" s="427">
        <v>0</v>
      </c>
      <c r="K13" s="427">
        <v>0</v>
      </c>
      <c r="L13" s="427">
        <v>4553467</v>
      </c>
    </row>
    <row r="14" spans="1:12" ht="25.5">
      <c r="A14" s="425" t="s">
        <v>557</v>
      </c>
      <c r="B14" s="426" t="s">
        <v>558</v>
      </c>
      <c r="C14" s="427">
        <v>11</v>
      </c>
      <c r="D14" s="427">
        <v>8950598</v>
      </c>
      <c r="E14" s="427">
        <v>60150</v>
      </c>
      <c r="F14" s="427">
        <v>0</v>
      </c>
      <c r="G14" s="427">
        <v>0</v>
      </c>
      <c r="H14" s="427">
        <v>0</v>
      </c>
      <c r="I14" s="427">
        <v>0</v>
      </c>
      <c r="J14" s="427">
        <v>0</v>
      </c>
      <c r="K14" s="427">
        <v>72953</v>
      </c>
      <c r="L14" s="427">
        <v>4553467</v>
      </c>
    </row>
    <row r="15" spans="1:12" ht="25.5">
      <c r="A15" s="422" t="s">
        <v>559</v>
      </c>
      <c r="B15" s="423" t="s">
        <v>560</v>
      </c>
      <c r="C15" s="424">
        <v>11</v>
      </c>
      <c r="D15" s="424">
        <v>0</v>
      </c>
      <c r="E15" s="424">
        <v>0</v>
      </c>
      <c r="F15" s="424">
        <v>0</v>
      </c>
      <c r="G15" s="424">
        <v>0</v>
      </c>
      <c r="H15" s="424">
        <v>0</v>
      </c>
      <c r="I15" s="424">
        <v>0</v>
      </c>
      <c r="J15" s="424">
        <v>0</v>
      </c>
      <c r="K15" s="424">
        <v>0</v>
      </c>
      <c r="L15" s="424">
        <v>0</v>
      </c>
    </row>
  </sheetData>
  <sheetProtection selectLockedCells="1" selectUnlockedCells="1"/>
  <mergeCells count="2">
    <mergeCell ref="A1:L1"/>
    <mergeCell ref="A2:L2"/>
  </mergeCells>
  <printOptions/>
  <pageMargins left="0.75" right="0.75" top="1" bottom="1" header="0.5" footer="0.5"/>
  <pageSetup horizontalDpi="300" verticalDpi="300" orientation="landscape" scale="60" r:id="rId1"/>
  <headerFooter alignWithMargins="0">
    <oddHeader>&amp;RÉrték típus: Fő</oddHeader>
    <oddFooter>&amp;LAdatellenőrző kód: 6011-408-e-3a-4e35-65-75-1d3065-2566422e-40-336c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C14"/>
  <sheetViews>
    <sheetView zoomScale="110" zoomScaleNormal="110" zoomScaleSheetLayoutView="110" zoomScalePageLayoutView="0" workbookViewId="0" topLeftCell="A1">
      <pane ySplit="4" topLeftCell="A5" activePane="bottomLeft" state="frozen"/>
      <selection pane="topLeft" activeCell="A1" sqref="A1"/>
      <selection pane="bottomLeft" activeCell="A1" sqref="A1:C1"/>
    </sheetView>
  </sheetViews>
  <sheetFormatPr defaultColWidth="8.8515625" defaultRowHeight="12.75"/>
  <cols>
    <col min="1" max="1" width="8.28125" style="428" customWidth="1"/>
    <col min="2" max="2" width="41.00390625" style="428" customWidth="1"/>
    <col min="3" max="3" width="32.7109375" style="428" customWidth="1"/>
    <col min="4" max="16384" width="8.8515625" style="428" customWidth="1"/>
  </cols>
  <sheetData>
    <row r="1" spans="1:3" ht="12.75">
      <c r="A1" s="503" t="s">
        <v>591</v>
      </c>
      <c r="B1" s="503"/>
      <c r="C1" s="503"/>
    </row>
    <row r="2" spans="1:3" ht="12.75" customHeight="1">
      <c r="A2" s="504" t="s">
        <v>344</v>
      </c>
      <c r="B2" s="504"/>
      <c r="C2" s="504"/>
    </row>
    <row r="3" spans="1:3" ht="15">
      <c r="A3" s="429" t="s">
        <v>345</v>
      </c>
      <c r="B3" s="430" t="s">
        <v>272</v>
      </c>
      <c r="C3" s="431" t="s">
        <v>346</v>
      </c>
    </row>
    <row r="4" spans="1:3" ht="15">
      <c r="A4" s="429">
        <v>1</v>
      </c>
      <c r="B4" s="430">
        <v>2</v>
      </c>
      <c r="C4" s="431">
        <v>3</v>
      </c>
    </row>
    <row r="5" spans="1:3" ht="25.5">
      <c r="A5" s="432" t="s">
        <v>347</v>
      </c>
      <c r="B5" s="433" t="s">
        <v>348</v>
      </c>
      <c r="C5" s="434">
        <v>23433639</v>
      </c>
    </row>
    <row r="6" spans="1:3" ht="25.5">
      <c r="A6" s="432" t="s">
        <v>349</v>
      </c>
      <c r="B6" s="433" t="s">
        <v>350</v>
      </c>
      <c r="C6" s="434">
        <v>49869588</v>
      </c>
    </row>
    <row r="7" spans="1:3" ht="25.5">
      <c r="A7" s="435" t="s">
        <v>351</v>
      </c>
      <c r="B7" s="436" t="s">
        <v>352</v>
      </c>
      <c r="C7" s="437">
        <v>-26435949</v>
      </c>
    </row>
    <row r="8" spans="1:3" ht="25.5">
      <c r="A8" s="432" t="s">
        <v>353</v>
      </c>
      <c r="B8" s="433" t="s">
        <v>354</v>
      </c>
      <c r="C8" s="434">
        <v>27148012</v>
      </c>
    </row>
    <row r="9" spans="1:3" ht="25.5">
      <c r="A9" s="435" t="s">
        <v>357</v>
      </c>
      <c r="B9" s="436" t="s">
        <v>358</v>
      </c>
      <c r="C9" s="437">
        <v>27148012</v>
      </c>
    </row>
    <row r="10" spans="1:3" ht="25.5">
      <c r="A10" s="435" t="s">
        <v>359</v>
      </c>
      <c r="B10" s="436" t="s">
        <v>360</v>
      </c>
      <c r="C10" s="437">
        <v>712063</v>
      </c>
    </row>
    <row r="11" spans="1:3" ht="12.75">
      <c r="A11" s="435" t="s">
        <v>361</v>
      </c>
      <c r="B11" s="436" t="s">
        <v>362</v>
      </c>
      <c r="C11" s="437">
        <v>712063</v>
      </c>
    </row>
    <row r="12" spans="1:3" ht="25.5">
      <c r="A12" s="438" t="s">
        <v>363</v>
      </c>
      <c r="B12" s="439" t="s">
        <v>364</v>
      </c>
      <c r="C12" s="440">
        <v>712063</v>
      </c>
    </row>
    <row r="14" ht="12.75">
      <c r="C14" s="448"/>
    </row>
  </sheetData>
  <sheetProtection selectLockedCells="1" selectUnlockedCells="1"/>
  <mergeCells count="2">
    <mergeCell ref="A1:C1"/>
    <mergeCell ref="A2:C2"/>
  </mergeCells>
  <printOptions/>
  <pageMargins left="0.75" right="0.75" top="1" bottom="1" header="0.5" footer="0.5"/>
  <pageSetup horizontalDpi="300" verticalDpi="300" orientation="portrait" r:id="rId1"/>
  <headerFooter alignWithMargins="0">
    <oddHeader>&amp;RÉrték típus: Forint</oddHeader>
    <oddFooter>&amp;LAdatellenőrző kód: -5e-714a-26-38-5a-c1c-2049-35-1620-6f40-637a45-2534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97"/>
  <sheetViews>
    <sheetView zoomScaleSheetLayoutView="110" zoomScalePageLayoutView="0" workbookViewId="0" topLeftCell="A1">
      <selection activeCell="A1" sqref="A1:I1"/>
    </sheetView>
  </sheetViews>
  <sheetFormatPr defaultColWidth="9.140625" defaultRowHeight="12.75"/>
  <cols>
    <col min="1" max="1" width="4.00390625" style="16" customWidth="1"/>
    <col min="2" max="2" width="4.421875" style="16" customWidth="1"/>
    <col min="3" max="3" width="6.421875" style="16" customWidth="1"/>
    <col min="4" max="4" width="2.57421875" style="16" customWidth="1"/>
    <col min="5" max="5" width="68.7109375" style="16" customWidth="1"/>
    <col min="6" max="8" width="16.28125" style="34" customWidth="1"/>
    <col min="9" max="9" width="17.8515625" style="34" customWidth="1"/>
    <col min="10" max="10" width="11.57421875" style="16" customWidth="1"/>
    <col min="11" max="11" width="12.00390625" style="16" customWidth="1"/>
    <col min="12" max="12" width="15.7109375" style="35" customWidth="1"/>
    <col min="13" max="16384" width="9.140625" style="16" customWidth="1"/>
  </cols>
  <sheetData>
    <row r="1" spans="1:9" ht="15.75">
      <c r="A1" s="463" t="s">
        <v>574</v>
      </c>
      <c r="B1" s="463"/>
      <c r="C1" s="463"/>
      <c r="D1" s="463"/>
      <c r="E1" s="463"/>
      <c r="F1" s="463"/>
      <c r="G1" s="463"/>
      <c r="H1" s="463"/>
      <c r="I1" s="463"/>
    </row>
    <row r="2" spans="1:9" s="37" customFormat="1" ht="16.5" customHeight="1">
      <c r="A2" s="463"/>
      <c r="B2" s="463"/>
      <c r="C2" s="463"/>
      <c r="D2" s="463"/>
      <c r="E2" s="463"/>
      <c r="F2" s="463"/>
      <c r="I2" s="38"/>
    </row>
    <row r="3" spans="1:12" ht="22.5" customHeight="1">
      <c r="A3" s="464" t="s">
        <v>0</v>
      </c>
      <c r="B3" s="464"/>
      <c r="C3" s="464"/>
      <c r="D3" s="464"/>
      <c r="E3" s="464"/>
      <c r="F3" s="464"/>
      <c r="G3" s="464"/>
      <c r="H3" s="464"/>
      <c r="I3" s="464"/>
      <c r="J3" s="40"/>
      <c r="L3" s="16"/>
    </row>
    <row r="4" spans="1:12" ht="18" customHeight="1">
      <c r="A4" s="464" t="s">
        <v>44</v>
      </c>
      <c r="B4" s="464"/>
      <c r="C4" s="464"/>
      <c r="D4" s="464"/>
      <c r="E4" s="464"/>
      <c r="F4" s="464"/>
      <c r="G4" s="464"/>
      <c r="H4" s="464"/>
      <c r="I4" s="464"/>
      <c r="J4" s="40"/>
      <c r="L4" s="16"/>
    </row>
    <row r="5" spans="1:12" ht="15.75">
      <c r="A5" s="465" t="s">
        <v>45</v>
      </c>
      <c r="B5" s="465"/>
      <c r="C5" s="465"/>
      <c r="D5" s="465"/>
      <c r="E5" s="465"/>
      <c r="F5" s="465"/>
      <c r="G5" s="465"/>
      <c r="H5" s="465"/>
      <c r="I5" s="465"/>
      <c r="J5" s="40"/>
      <c r="L5" s="16"/>
    </row>
    <row r="6" spans="5:10" s="42" customFormat="1" ht="15.75">
      <c r="E6" s="43"/>
      <c r="F6" s="44"/>
      <c r="G6" s="44"/>
      <c r="H6" s="44"/>
      <c r="I6" s="44"/>
      <c r="J6" s="45"/>
    </row>
    <row r="7" spans="1:12" ht="39" customHeight="1">
      <c r="A7" s="466" t="s">
        <v>46</v>
      </c>
      <c r="B7" s="466"/>
      <c r="C7" s="466"/>
      <c r="D7" s="466"/>
      <c r="E7" s="466"/>
      <c r="F7" s="46" t="s">
        <v>47</v>
      </c>
      <c r="G7" s="46" t="s">
        <v>48</v>
      </c>
      <c r="H7" s="47" t="s">
        <v>4</v>
      </c>
      <c r="I7" s="48" t="s">
        <v>5</v>
      </c>
      <c r="J7" s="40"/>
      <c r="L7" s="16"/>
    </row>
    <row r="8" spans="1:9" s="29" customFormat="1" ht="22.5" customHeight="1">
      <c r="A8" s="466"/>
      <c r="B8" s="466"/>
      <c r="C8" s="466"/>
      <c r="D8" s="466"/>
      <c r="E8" s="466"/>
      <c r="F8" s="46" t="s">
        <v>6</v>
      </c>
      <c r="G8" s="46" t="s">
        <v>7</v>
      </c>
      <c r="H8" s="48" t="s">
        <v>8</v>
      </c>
      <c r="I8" s="47" t="s">
        <v>9</v>
      </c>
    </row>
    <row r="9" spans="1:9" s="29" customFormat="1" ht="28.5" customHeight="1">
      <c r="A9" s="49" t="s">
        <v>49</v>
      </c>
      <c r="B9" s="49"/>
      <c r="C9" s="49"/>
      <c r="D9" s="49"/>
      <c r="E9" s="49"/>
      <c r="F9" s="50">
        <f>SUM(F10)</f>
        <v>170000</v>
      </c>
      <c r="G9" s="50">
        <f>SUM(G10)</f>
        <v>484656</v>
      </c>
      <c r="H9" s="50">
        <f>SUM(H10)</f>
        <v>484656</v>
      </c>
      <c r="I9" s="51">
        <f aca="true" t="shared" si="0" ref="I9:I17">H9/G9</f>
        <v>1</v>
      </c>
    </row>
    <row r="10" spans="1:12" s="52" customFormat="1" ht="15.75">
      <c r="A10" s="52" t="s">
        <v>15</v>
      </c>
      <c r="B10" s="53" t="s">
        <v>16</v>
      </c>
      <c r="C10" s="53"/>
      <c r="D10" s="53"/>
      <c r="E10" s="53"/>
      <c r="F10" s="54">
        <f>SUM(F11)</f>
        <v>170000</v>
      </c>
      <c r="G10" s="54">
        <f>G11</f>
        <v>484656</v>
      </c>
      <c r="H10" s="54">
        <f>H11</f>
        <v>484656</v>
      </c>
      <c r="I10" s="55">
        <f t="shared" si="0"/>
        <v>1</v>
      </c>
      <c r="J10" s="56"/>
      <c r="K10" s="16"/>
      <c r="L10" s="57"/>
    </row>
    <row r="11" spans="3:12" ht="15.75">
      <c r="C11" s="16" t="s">
        <v>50</v>
      </c>
      <c r="D11" s="16" t="s">
        <v>51</v>
      </c>
      <c r="F11" s="58">
        <f>SUM(F12)</f>
        <v>170000</v>
      </c>
      <c r="G11" s="58">
        <v>484656</v>
      </c>
      <c r="H11" s="58">
        <f>H12</f>
        <v>484656</v>
      </c>
      <c r="I11" s="55">
        <f t="shared" si="0"/>
        <v>1</v>
      </c>
      <c r="J11" s="59"/>
      <c r="L11" s="57"/>
    </row>
    <row r="12" spans="5:12" ht="15.75">
      <c r="E12" s="16" t="s">
        <v>52</v>
      </c>
      <c r="F12" s="57">
        <v>170000</v>
      </c>
      <c r="G12" s="57">
        <f>484656+6174</f>
        <v>490830</v>
      </c>
      <c r="H12" s="57">
        <v>484656</v>
      </c>
      <c r="I12" s="55">
        <f t="shared" si="0"/>
        <v>0.9874213067660901</v>
      </c>
      <c r="J12" s="59"/>
      <c r="L12" s="57"/>
    </row>
    <row r="13" spans="1:12" ht="37.5" customHeight="1">
      <c r="A13" s="467" t="s">
        <v>53</v>
      </c>
      <c r="B13" s="467"/>
      <c r="C13" s="467"/>
      <c r="D13" s="467"/>
      <c r="E13" s="467"/>
      <c r="F13" s="60">
        <f>SUM(F18+F14)</f>
        <v>66000</v>
      </c>
      <c r="G13" s="60">
        <f>SUM(G18+G14)</f>
        <v>67174</v>
      </c>
      <c r="H13" s="60">
        <f>H14+H18</f>
        <v>66200</v>
      </c>
      <c r="I13" s="61">
        <f t="shared" si="0"/>
        <v>0.9855003423943788</v>
      </c>
      <c r="L13" s="57"/>
    </row>
    <row r="14" spans="1:12" s="52" customFormat="1" ht="15.75">
      <c r="A14" s="52" t="s">
        <v>15</v>
      </c>
      <c r="B14" s="53" t="s">
        <v>16</v>
      </c>
      <c r="C14" s="53"/>
      <c r="D14" s="53"/>
      <c r="E14" s="53"/>
      <c r="F14" s="54">
        <f>SUM(F15:F16)</f>
        <v>61000</v>
      </c>
      <c r="G14" s="54">
        <f>SUM(G15:G17)</f>
        <v>67174</v>
      </c>
      <c r="H14" s="54">
        <f>SUM(H15:H17)</f>
        <v>66200</v>
      </c>
      <c r="I14" s="55">
        <f t="shared" si="0"/>
        <v>0.9855003423943788</v>
      </c>
      <c r="J14" s="56"/>
      <c r="K14" s="16"/>
      <c r="L14" s="57"/>
    </row>
    <row r="15" spans="2:15" ht="15.75">
      <c r="B15" s="62"/>
      <c r="C15" s="62" t="s">
        <v>50</v>
      </c>
      <c r="D15" s="62" t="s">
        <v>51</v>
      </c>
      <c r="E15" s="62"/>
      <c r="F15" s="58">
        <v>60000</v>
      </c>
      <c r="G15" s="58">
        <v>60000</v>
      </c>
      <c r="H15" s="58">
        <v>60000</v>
      </c>
      <c r="I15" s="55">
        <f t="shared" si="0"/>
        <v>1</v>
      </c>
      <c r="J15" s="63"/>
      <c r="L15" s="57"/>
      <c r="M15" s="59"/>
      <c r="N15" s="59"/>
      <c r="O15" s="35"/>
    </row>
    <row r="16" spans="3:12" ht="15.75">
      <c r="C16" s="16" t="s">
        <v>54</v>
      </c>
      <c r="D16" s="16" t="s">
        <v>55</v>
      </c>
      <c r="F16" s="58">
        <v>1000</v>
      </c>
      <c r="G16" s="58">
        <v>1000</v>
      </c>
      <c r="H16" s="58">
        <v>26</v>
      </c>
      <c r="I16" s="55">
        <f t="shared" si="0"/>
        <v>0.026</v>
      </c>
      <c r="J16" s="59"/>
      <c r="L16" s="57"/>
    </row>
    <row r="17" spans="3:12" ht="15.75">
      <c r="C17" s="16" t="s">
        <v>56</v>
      </c>
      <c r="D17" s="16" t="s">
        <v>57</v>
      </c>
      <c r="F17" s="58"/>
      <c r="G17" s="58">
        <v>6174</v>
      </c>
      <c r="H17" s="58">
        <v>6174</v>
      </c>
      <c r="I17" s="55">
        <f t="shared" si="0"/>
        <v>1</v>
      </c>
      <c r="J17" s="59"/>
      <c r="L17" s="57"/>
    </row>
    <row r="18" spans="1:15" s="52" customFormat="1" ht="15.75">
      <c r="A18" s="52" t="s">
        <v>17</v>
      </c>
      <c r="B18" s="52" t="s">
        <v>18</v>
      </c>
      <c r="F18" s="64">
        <f>SUM(F19)</f>
        <v>5000</v>
      </c>
      <c r="G18" s="64">
        <v>0</v>
      </c>
      <c r="H18" s="64">
        <f>H19</f>
        <v>0</v>
      </c>
      <c r="I18" s="55">
        <v>0</v>
      </c>
      <c r="J18" s="65"/>
      <c r="K18" s="16"/>
      <c r="L18" s="57"/>
      <c r="M18" s="56"/>
      <c r="N18" s="56"/>
      <c r="O18" s="66"/>
    </row>
    <row r="19" spans="2:15" ht="15.75">
      <c r="B19" s="16" t="s">
        <v>58</v>
      </c>
      <c r="D19" s="16" t="s">
        <v>59</v>
      </c>
      <c r="F19" s="58">
        <v>5000</v>
      </c>
      <c r="G19" s="58">
        <v>0</v>
      </c>
      <c r="H19" s="58">
        <v>0</v>
      </c>
      <c r="I19" s="55">
        <v>0</v>
      </c>
      <c r="J19" s="63"/>
      <c r="L19" s="57"/>
      <c r="M19" s="59"/>
      <c r="N19" s="59"/>
      <c r="O19" s="35"/>
    </row>
    <row r="20" spans="1:12" ht="32.25" customHeight="1">
      <c r="A20" s="467" t="s">
        <v>60</v>
      </c>
      <c r="B20" s="467"/>
      <c r="C20" s="467"/>
      <c r="D20" s="467"/>
      <c r="E20" s="467"/>
      <c r="F20" s="60">
        <f aca="true" t="shared" si="1" ref="F20:G23">SUM(F21)</f>
        <v>20736876</v>
      </c>
      <c r="G20" s="60">
        <f t="shared" si="1"/>
        <v>20736876</v>
      </c>
      <c r="H20" s="60">
        <f>H21</f>
        <v>20736876</v>
      </c>
      <c r="I20" s="61">
        <f aca="true" t="shared" si="2" ref="I20:I46">H20/G20</f>
        <v>1</v>
      </c>
      <c r="L20" s="57"/>
    </row>
    <row r="21" spans="1:12" s="52" customFormat="1" ht="15.75">
      <c r="A21" s="52" t="s">
        <v>22</v>
      </c>
      <c r="B21" s="53" t="s">
        <v>23</v>
      </c>
      <c r="C21" s="53"/>
      <c r="D21" s="53"/>
      <c r="E21" s="53"/>
      <c r="F21" s="54">
        <f t="shared" si="1"/>
        <v>20736876</v>
      </c>
      <c r="G21" s="54">
        <f t="shared" si="1"/>
        <v>20736876</v>
      </c>
      <c r="H21" s="54">
        <f>H22</f>
        <v>20736876</v>
      </c>
      <c r="I21" s="55">
        <f t="shared" si="2"/>
        <v>1</v>
      </c>
      <c r="J21" s="56"/>
      <c r="K21" s="16"/>
      <c r="L21" s="57"/>
    </row>
    <row r="22" spans="2:12" ht="15.75">
      <c r="B22" s="16" t="s">
        <v>61</v>
      </c>
      <c r="D22" s="16" t="s">
        <v>62</v>
      </c>
      <c r="F22" s="34">
        <f t="shared" si="1"/>
        <v>20736876</v>
      </c>
      <c r="G22" s="34">
        <f t="shared" si="1"/>
        <v>20736876</v>
      </c>
      <c r="H22" s="34">
        <f>H23</f>
        <v>20736876</v>
      </c>
      <c r="I22" s="55">
        <f t="shared" si="2"/>
        <v>1</v>
      </c>
      <c r="J22" s="59"/>
      <c r="L22" s="57"/>
    </row>
    <row r="23" spans="3:12" ht="15.75">
      <c r="C23" s="16" t="s">
        <v>63</v>
      </c>
      <c r="D23" s="16" t="s">
        <v>64</v>
      </c>
      <c r="F23" s="58">
        <f t="shared" si="1"/>
        <v>20736876</v>
      </c>
      <c r="G23" s="58">
        <f t="shared" si="1"/>
        <v>20736876</v>
      </c>
      <c r="H23" s="58">
        <v>20736876</v>
      </c>
      <c r="I23" s="55">
        <f t="shared" si="2"/>
        <v>1</v>
      </c>
      <c r="J23" s="59"/>
      <c r="L23" s="57"/>
    </row>
    <row r="24" spans="3:12" ht="15.75">
      <c r="C24" s="16" t="s">
        <v>65</v>
      </c>
      <c r="E24" s="16" t="s">
        <v>66</v>
      </c>
      <c r="F24" s="57">
        <v>20736876</v>
      </c>
      <c r="G24" s="57">
        <v>20736876</v>
      </c>
      <c r="H24" s="57">
        <v>20736876</v>
      </c>
      <c r="I24" s="55">
        <f t="shared" si="2"/>
        <v>1</v>
      </c>
      <c r="J24" s="59"/>
      <c r="L24" s="57"/>
    </row>
    <row r="25" spans="1:12" s="52" customFormat="1" ht="30.75" customHeight="1">
      <c r="A25" s="67" t="s">
        <v>67</v>
      </c>
      <c r="B25" s="67"/>
      <c r="C25" s="67"/>
      <c r="D25" s="67"/>
      <c r="E25" s="67"/>
      <c r="F25" s="68">
        <f>SUM(F26)</f>
        <v>8480000</v>
      </c>
      <c r="G25" s="68">
        <f>SUM(G26)</f>
        <v>12185239</v>
      </c>
      <c r="H25" s="68">
        <f>H26</f>
        <v>12185239</v>
      </c>
      <c r="I25" s="61">
        <f t="shared" si="2"/>
        <v>1</v>
      </c>
      <c r="K25" s="16"/>
      <c r="L25" s="57"/>
    </row>
    <row r="26" spans="1:12" s="52" customFormat="1" ht="15.75">
      <c r="A26" s="52" t="s">
        <v>13</v>
      </c>
      <c r="B26" s="53" t="s">
        <v>14</v>
      </c>
      <c r="C26" s="53"/>
      <c r="D26" s="53"/>
      <c r="E26" s="53"/>
      <c r="F26" s="54">
        <f>SUM(F27+F30+F37)</f>
        <v>8480000</v>
      </c>
      <c r="G26" s="54">
        <f>SUM(G27+G30+G37)</f>
        <v>12185239</v>
      </c>
      <c r="H26" s="54">
        <f>SUM(H27+H30+H37)</f>
        <v>12185239</v>
      </c>
      <c r="I26" s="55">
        <f t="shared" si="2"/>
        <v>1</v>
      </c>
      <c r="J26" s="56"/>
      <c r="K26" s="56"/>
      <c r="L26" s="66"/>
    </row>
    <row r="27" spans="2:11" ht="15.75">
      <c r="B27" s="16" t="s">
        <v>68</v>
      </c>
      <c r="D27" s="16" t="s">
        <v>69</v>
      </c>
      <c r="F27" s="69">
        <f>SUM(F28:F29)</f>
        <v>2600000</v>
      </c>
      <c r="G27" s="69">
        <f>SUM(G28:G29)</f>
        <v>5826592</v>
      </c>
      <c r="H27" s="69">
        <f>SUM(H28:H29)</f>
        <v>5826592</v>
      </c>
      <c r="I27" s="55">
        <f t="shared" si="2"/>
        <v>1</v>
      </c>
      <c r="J27" s="59"/>
      <c r="K27" s="59"/>
    </row>
    <row r="28" spans="5:11" ht="15.75">
      <c r="E28" s="16" t="s">
        <v>70</v>
      </c>
      <c r="F28" s="57">
        <v>1600000</v>
      </c>
      <c r="G28" s="57">
        <v>2498376</v>
      </c>
      <c r="H28" s="57">
        <v>2498376</v>
      </c>
      <c r="I28" s="55">
        <f t="shared" si="2"/>
        <v>1</v>
      </c>
      <c r="J28" s="59"/>
      <c r="K28" s="59"/>
    </row>
    <row r="29" spans="1:11" ht="15.75">
      <c r="A29" s="52"/>
      <c r="B29" s="52"/>
      <c r="C29" s="52"/>
      <c r="D29" s="52"/>
      <c r="E29" s="16" t="s">
        <v>71</v>
      </c>
      <c r="F29" s="57">
        <v>1000000</v>
      </c>
      <c r="G29" s="57">
        <v>3328216</v>
      </c>
      <c r="H29" s="57">
        <v>3328216</v>
      </c>
      <c r="I29" s="55">
        <f t="shared" si="2"/>
        <v>1</v>
      </c>
      <c r="J29" s="59"/>
      <c r="K29" s="59"/>
    </row>
    <row r="30" spans="1:11" ht="15.75">
      <c r="A30" s="52"/>
      <c r="B30" s="16" t="s">
        <v>72</v>
      </c>
      <c r="D30" s="16" t="s">
        <v>73</v>
      </c>
      <c r="F30" s="34">
        <f>SUM(F31+F33+F35)</f>
        <v>5780000</v>
      </c>
      <c r="G30" s="34">
        <f>SUM(G31+G33+G35)</f>
        <v>6075390</v>
      </c>
      <c r="H30" s="34">
        <f>SUM(H31+H33+H35)</f>
        <v>6075390</v>
      </c>
      <c r="I30" s="55">
        <f t="shared" si="2"/>
        <v>1</v>
      </c>
      <c r="J30" s="59"/>
      <c r="K30" s="59"/>
    </row>
    <row r="31" spans="1:11" ht="15.75">
      <c r="A31" s="52"/>
      <c r="C31" s="16" t="s">
        <v>74</v>
      </c>
      <c r="D31" s="16" t="s">
        <v>75</v>
      </c>
      <c r="F31" s="58">
        <f>SUM(F32)</f>
        <v>5000000</v>
      </c>
      <c r="G31" s="58">
        <f>SUM(G32)</f>
        <v>5030500</v>
      </c>
      <c r="H31" s="58">
        <f>H32</f>
        <v>5030500</v>
      </c>
      <c r="I31" s="55">
        <f t="shared" si="2"/>
        <v>1</v>
      </c>
      <c r="J31" s="59"/>
      <c r="K31" s="59"/>
    </row>
    <row r="32" spans="1:11" ht="15.75">
      <c r="A32" s="52"/>
      <c r="E32" s="16" t="s">
        <v>76</v>
      </c>
      <c r="F32" s="57">
        <v>5000000</v>
      </c>
      <c r="G32" s="57">
        <v>5030500</v>
      </c>
      <c r="H32" s="57">
        <v>5030500</v>
      </c>
      <c r="I32" s="55">
        <f t="shared" si="2"/>
        <v>1</v>
      </c>
      <c r="J32" s="59"/>
      <c r="K32" s="59"/>
    </row>
    <row r="33" spans="1:11" ht="15.75">
      <c r="A33" s="52"/>
      <c r="C33" s="16" t="s">
        <v>77</v>
      </c>
      <c r="D33" s="16" t="s">
        <v>78</v>
      </c>
      <c r="F33" s="58">
        <f>SUM(F34)</f>
        <v>630000</v>
      </c>
      <c r="G33" s="58">
        <v>792090</v>
      </c>
      <c r="H33" s="58">
        <f>H34</f>
        <v>792090</v>
      </c>
      <c r="I33" s="55">
        <f t="shared" si="2"/>
        <v>1</v>
      </c>
      <c r="J33" s="59"/>
      <c r="K33" s="59"/>
    </row>
    <row r="34" spans="1:11" ht="15.75">
      <c r="A34" s="52"/>
      <c r="E34" s="16" t="s">
        <v>79</v>
      </c>
      <c r="F34" s="57">
        <v>630000</v>
      </c>
      <c r="G34" s="57">
        <v>630000</v>
      </c>
      <c r="H34" s="57">
        <v>792090</v>
      </c>
      <c r="I34" s="55">
        <f t="shared" si="2"/>
        <v>1.2572857142857143</v>
      </c>
      <c r="J34" s="59"/>
      <c r="K34" s="59"/>
    </row>
    <row r="35" spans="1:11" ht="15.75">
      <c r="A35" s="52"/>
      <c r="C35" s="16" t="s">
        <v>80</v>
      </c>
      <c r="D35" s="16" t="s">
        <v>81</v>
      </c>
      <c r="F35" s="58">
        <f>SUM(F36)</f>
        <v>150000</v>
      </c>
      <c r="G35" s="58">
        <v>252800</v>
      </c>
      <c r="H35" s="58">
        <f>H36</f>
        <v>252800</v>
      </c>
      <c r="I35" s="55">
        <f t="shared" si="2"/>
        <v>1</v>
      </c>
      <c r="J35" s="59"/>
      <c r="K35" s="59"/>
    </row>
    <row r="36" spans="1:11" ht="15.75">
      <c r="A36" s="52"/>
      <c r="E36" s="16" t="s">
        <v>82</v>
      </c>
      <c r="F36" s="57">
        <v>150000</v>
      </c>
      <c r="G36" s="57">
        <v>245400</v>
      </c>
      <c r="H36" s="57">
        <v>252800</v>
      </c>
      <c r="I36" s="55">
        <f t="shared" si="2"/>
        <v>1.030154849225754</v>
      </c>
      <c r="J36" s="59"/>
      <c r="K36" s="59"/>
    </row>
    <row r="37" spans="2:9" ht="15.75">
      <c r="B37" s="16" t="s">
        <v>83</v>
      </c>
      <c r="D37" s="16" t="s">
        <v>84</v>
      </c>
      <c r="F37" s="34">
        <f>SUM(F39:F39)</f>
        <v>100000</v>
      </c>
      <c r="G37" s="34">
        <f>G38+G39</f>
        <v>283257</v>
      </c>
      <c r="H37" s="34">
        <f>SUM(H38:H39)</f>
        <v>283257</v>
      </c>
      <c r="I37" s="55">
        <f t="shared" si="2"/>
        <v>1</v>
      </c>
    </row>
    <row r="38" spans="5:9" ht="15.75">
      <c r="E38" s="16" t="s">
        <v>84</v>
      </c>
      <c r="G38" s="34">
        <v>113257</v>
      </c>
      <c r="H38" s="34">
        <v>113257</v>
      </c>
      <c r="I38" s="55">
        <f t="shared" si="2"/>
        <v>1</v>
      </c>
    </row>
    <row r="39" spans="5:9" ht="15.75">
      <c r="E39" s="16" t="s">
        <v>85</v>
      </c>
      <c r="F39" s="57">
        <v>100000</v>
      </c>
      <c r="G39" s="57">
        <v>170000</v>
      </c>
      <c r="H39" s="57">
        <v>170000</v>
      </c>
      <c r="I39" s="55">
        <f t="shared" si="2"/>
        <v>1</v>
      </c>
    </row>
    <row r="40" spans="1:12" s="52" customFormat="1" ht="32.25" customHeight="1">
      <c r="A40" s="67" t="s">
        <v>86</v>
      </c>
      <c r="B40" s="67"/>
      <c r="C40" s="67"/>
      <c r="D40" s="67"/>
      <c r="E40" s="67"/>
      <c r="F40" s="60">
        <f>SUM(F41)</f>
        <v>50000</v>
      </c>
      <c r="G40" s="60">
        <f>SUM(G41)</f>
        <v>69000</v>
      </c>
      <c r="H40" s="60">
        <f>H41</f>
        <v>69000</v>
      </c>
      <c r="I40" s="61">
        <f t="shared" si="2"/>
        <v>1</v>
      </c>
      <c r="L40" s="66"/>
    </row>
    <row r="41" spans="1:12" s="52" customFormat="1" ht="15.75">
      <c r="A41" s="52" t="s">
        <v>15</v>
      </c>
      <c r="B41" s="52" t="s">
        <v>16</v>
      </c>
      <c r="F41" s="64">
        <f>SUM(F42)</f>
        <v>50000</v>
      </c>
      <c r="G41" s="64">
        <f>SUM(G42)</f>
        <v>69000</v>
      </c>
      <c r="H41" s="64">
        <f>H42</f>
        <v>69000</v>
      </c>
      <c r="I41" s="55">
        <f t="shared" si="2"/>
        <v>1</v>
      </c>
      <c r="L41" s="66"/>
    </row>
    <row r="42" spans="3:9" ht="15.75">
      <c r="C42" s="16" t="s">
        <v>50</v>
      </c>
      <c r="D42" s="16" t="s">
        <v>51</v>
      </c>
      <c r="F42" s="58">
        <v>50000</v>
      </c>
      <c r="G42" s="58">
        <v>69000</v>
      </c>
      <c r="H42" s="58">
        <v>69000</v>
      </c>
      <c r="I42" s="55">
        <f t="shared" si="2"/>
        <v>1</v>
      </c>
    </row>
    <row r="43" spans="1:12" s="52" customFormat="1" ht="37.5" customHeight="1">
      <c r="A43" s="67" t="s">
        <v>87</v>
      </c>
      <c r="B43" s="67"/>
      <c r="C43" s="67"/>
      <c r="D43" s="67"/>
      <c r="E43" s="67"/>
      <c r="F43" s="60">
        <f>SUM(F44)</f>
        <v>39739568</v>
      </c>
      <c r="G43" s="60">
        <f>G44+G62+G64</f>
        <v>52629668</v>
      </c>
      <c r="H43" s="60">
        <f>H44+H62+H64</f>
        <v>52925909</v>
      </c>
      <c r="I43" s="61">
        <f t="shared" si="2"/>
        <v>1.0056287833698665</v>
      </c>
      <c r="L43" s="66"/>
    </row>
    <row r="44" spans="1:14" ht="18" customHeight="1">
      <c r="A44" s="52" t="s">
        <v>11</v>
      </c>
      <c r="B44" s="53" t="s">
        <v>12</v>
      </c>
      <c r="C44" s="53"/>
      <c r="D44" s="53"/>
      <c r="E44" s="53"/>
      <c r="F44" s="54">
        <f>SUM(F45)</f>
        <v>39739568</v>
      </c>
      <c r="G44" s="54">
        <f>SUM(G45)</f>
        <v>46225929</v>
      </c>
      <c r="H44" s="54">
        <f>SUM(H45)</f>
        <v>46225929</v>
      </c>
      <c r="I44" s="55">
        <f t="shared" si="2"/>
        <v>1</v>
      </c>
      <c r="J44" s="70"/>
      <c r="K44" s="71"/>
      <c r="L44" s="72"/>
      <c r="M44" s="26"/>
      <c r="N44" s="26"/>
    </row>
    <row r="45" spans="2:14" ht="15.75">
      <c r="B45" s="16" t="s">
        <v>88</v>
      </c>
      <c r="D45" s="16" t="s">
        <v>89</v>
      </c>
      <c r="F45" s="34">
        <f>SUM(F46+F53+F60+F61)</f>
        <v>39739568</v>
      </c>
      <c r="G45" s="34">
        <f>SUM(G46+G53+G60+G61)</f>
        <v>46225929</v>
      </c>
      <c r="H45" s="34">
        <f>SUM(H46+H53+H60+H61)</f>
        <v>46225929</v>
      </c>
      <c r="I45" s="55">
        <f t="shared" si="2"/>
        <v>1</v>
      </c>
      <c r="J45" s="73"/>
      <c r="K45" s="74"/>
      <c r="L45" s="40"/>
      <c r="M45" s="26"/>
      <c r="N45" s="26"/>
    </row>
    <row r="46" spans="3:12" s="52" customFormat="1" ht="15.75">
      <c r="C46" s="16" t="s">
        <v>90</v>
      </c>
      <c r="D46" s="16" t="s">
        <v>91</v>
      </c>
      <c r="E46" s="16"/>
      <c r="F46" s="58">
        <f>SUM(F47:F52)</f>
        <v>12067568</v>
      </c>
      <c r="G46" s="58">
        <v>12142842</v>
      </c>
      <c r="H46" s="58">
        <v>12142842</v>
      </c>
      <c r="I46" s="55">
        <f t="shared" si="2"/>
        <v>1</v>
      </c>
      <c r="J46" s="73"/>
      <c r="L46" s="66"/>
    </row>
    <row r="47" spans="3:12" s="52" customFormat="1" ht="15.75">
      <c r="C47" s="16"/>
      <c r="D47" s="16"/>
      <c r="E47" s="16" t="s">
        <v>92</v>
      </c>
      <c r="F47" s="57">
        <v>4032190</v>
      </c>
      <c r="G47" s="57"/>
      <c r="H47" s="57"/>
      <c r="I47" s="55"/>
      <c r="J47" s="73"/>
      <c r="L47" s="66"/>
    </row>
    <row r="48" spans="3:12" s="52" customFormat="1" ht="15.75">
      <c r="C48" s="16"/>
      <c r="D48" s="16"/>
      <c r="E48" s="16" t="s">
        <v>93</v>
      </c>
      <c r="F48" s="57">
        <v>5000000</v>
      </c>
      <c r="G48" s="57"/>
      <c r="H48" s="57"/>
      <c r="I48" s="55"/>
      <c r="J48" s="73"/>
      <c r="L48" s="66"/>
    </row>
    <row r="49" spans="3:12" s="52" customFormat="1" ht="15.75">
      <c r="C49" s="16"/>
      <c r="D49" s="16"/>
      <c r="E49" s="16" t="s">
        <v>94</v>
      </c>
      <c r="F49" s="57">
        <v>91800</v>
      </c>
      <c r="G49" s="57"/>
      <c r="H49" s="57"/>
      <c r="I49" s="55"/>
      <c r="J49" s="73"/>
      <c r="L49" s="66"/>
    </row>
    <row r="50" spans="3:12" s="52" customFormat="1" ht="15.75">
      <c r="C50" s="16"/>
      <c r="D50" s="16"/>
      <c r="E50" s="16" t="s">
        <v>95</v>
      </c>
      <c r="F50" s="57">
        <v>91400</v>
      </c>
      <c r="G50" s="57"/>
      <c r="H50" s="57"/>
      <c r="I50" s="55"/>
      <c r="J50" s="73"/>
      <c r="L50" s="66"/>
    </row>
    <row r="51" spans="3:12" s="52" customFormat="1" ht="15.75">
      <c r="C51" s="16"/>
      <c r="D51" s="16"/>
      <c r="E51" s="16" t="s">
        <v>96</v>
      </c>
      <c r="F51" s="57">
        <v>1009100</v>
      </c>
      <c r="G51" s="57"/>
      <c r="H51" s="57"/>
      <c r="I51" s="55"/>
      <c r="J51" s="73"/>
      <c r="L51" s="66"/>
    </row>
    <row r="52" spans="3:12" s="52" customFormat="1" ht="15.75">
      <c r="C52" s="16"/>
      <c r="D52" s="16"/>
      <c r="E52" s="16" t="s">
        <v>97</v>
      </c>
      <c r="F52" s="57">
        <v>1843078</v>
      </c>
      <c r="G52" s="57"/>
      <c r="H52" s="57"/>
      <c r="I52" s="55"/>
      <c r="J52" s="73"/>
      <c r="L52" s="66"/>
    </row>
    <row r="53" spans="3:11" ht="30.75" customHeight="1">
      <c r="C53" s="16" t="s">
        <v>98</v>
      </c>
      <c r="D53" s="468" t="s">
        <v>99</v>
      </c>
      <c r="E53" s="468"/>
      <c r="F53" s="58">
        <f>SUM(F54+F55+F59)</f>
        <v>25872000</v>
      </c>
      <c r="G53" s="58">
        <v>30122771</v>
      </c>
      <c r="H53" s="58">
        <v>30122771</v>
      </c>
      <c r="I53" s="55">
        <f>H53/G53</f>
        <v>1</v>
      </c>
      <c r="J53" s="58"/>
      <c r="K53" s="59"/>
    </row>
    <row r="54" spans="4:11" ht="15" customHeight="1">
      <c r="D54" s="75"/>
      <c r="E54" s="75" t="s">
        <v>100</v>
      </c>
      <c r="F54" s="76">
        <v>3100000</v>
      </c>
      <c r="G54" s="76"/>
      <c r="H54" s="76"/>
      <c r="I54" s="55"/>
      <c r="J54" s="59"/>
      <c r="K54" s="59"/>
    </row>
    <row r="55" spans="4:11" ht="15" customHeight="1">
      <c r="D55" s="75"/>
      <c r="E55" s="75" t="s">
        <v>101</v>
      </c>
      <c r="F55" s="76">
        <f>SUM(F56:F57)</f>
        <v>20632000</v>
      </c>
      <c r="G55" s="76"/>
      <c r="H55" s="76"/>
      <c r="I55" s="55"/>
      <c r="J55" s="59"/>
      <c r="K55" s="59"/>
    </row>
    <row r="56" spans="4:11" ht="15" customHeight="1">
      <c r="D56" s="75"/>
      <c r="E56" s="75" t="s">
        <v>102</v>
      </c>
      <c r="F56" s="77">
        <v>19936000</v>
      </c>
      <c r="G56" s="77"/>
      <c r="H56" s="77"/>
      <c r="I56" s="55"/>
      <c r="J56" s="59"/>
      <c r="K56" s="59"/>
    </row>
    <row r="57" spans="4:11" ht="15" customHeight="1">
      <c r="D57" s="75"/>
      <c r="E57" s="75" t="s">
        <v>103</v>
      </c>
      <c r="F57" s="77">
        <v>696000</v>
      </c>
      <c r="G57" s="77"/>
      <c r="H57" s="77"/>
      <c r="I57" s="55"/>
      <c r="J57" s="59"/>
      <c r="K57" s="59"/>
    </row>
    <row r="58" spans="4:11" ht="15" customHeight="1">
      <c r="D58" s="75"/>
      <c r="E58" s="75" t="s">
        <v>104</v>
      </c>
      <c r="F58" s="77"/>
      <c r="G58" s="77"/>
      <c r="H58" s="77"/>
      <c r="I58" s="55"/>
      <c r="J58" s="59"/>
      <c r="K58" s="59"/>
    </row>
    <row r="59" spans="4:11" ht="15" customHeight="1">
      <c r="D59" s="75"/>
      <c r="E59" s="75" t="s">
        <v>105</v>
      </c>
      <c r="F59" s="76">
        <v>2140000</v>
      </c>
      <c r="G59" s="76"/>
      <c r="H59" s="76"/>
      <c r="I59" s="55"/>
      <c r="J59" s="59"/>
      <c r="K59" s="59"/>
    </row>
    <row r="60" spans="3:11" ht="15.75">
      <c r="C60" s="16" t="s">
        <v>106</v>
      </c>
      <c r="D60" s="16" t="s">
        <v>107</v>
      </c>
      <c r="F60" s="58">
        <v>1800000</v>
      </c>
      <c r="G60" s="58">
        <v>1800000</v>
      </c>
      <c r="H60" s="58">
        <v>1800000</v>
      </c>
      <c r="I60" s="55">
        <f aca="true" t="shared" si="3" ref="I60:I69">H60/G60</f>
        <v>1</v>
      </c>
      <c r="J60" s="59"/>
      <c r="K60" s="59"/>
    </row>
    <row r="61" spans="3:11" ht="15.75">
      <c r="C61" s="16" t="s">
        <v>108</v>
      </c>
      <c r="D61" s="16" t="s">
        <v>109</v>
      </c>
      <c r="F61" s="58"/>
      <c r="G61" s="58">
        <v>2160316</v>
      </c>
      <c r="H61" s="58">
        <v>2160316</v>
      </c>
      <c r="I61" s="55">
        <f t="shared" si="3"/>
        <v>1</v>
      </c>
      <c r="J61" s="59"/>
      <c r="K61" s="59"/>
    </row>
    <row r="62" spans="1:12" s="52" customFormat="1" ht="15.75">
      <c r="A62" s="52" t="s">
        <v>20</v>
      </c>
      <c r="B62" s="52" t="s">
        <v>21</v>
      </c>
      <c r="F62" s="54">
        <v>0</v>
      </c>
      <c r="G62" s="54">
        <f>SUM(G63)</f>
        <v>5805012</v>
      </c>
      <c r="H62" s="54">
        <f>H63</f>
        <v>5805012</v>
      </c>
      <c r="I62" s="55">
        <f t="shared" si="3"/>
        <v>1</v>
      </c>
      <c r="L62" s="66"/>
    </row>
    <row r="63" spans="2:9" ht="15.75">
      <c r="B63" s="16" t="s">
        <v>110</v>
      </c>
      <c r="D63" s="16" t="s">
        <v>111</v>
      </c>
      <c r="F63" s="58">
        <v>0</v>
      </c>
      <c r="G63" s="58">
        <v>5805012</v>
      </c>
      <c r="H63" s="58">
        <v>5805012</v>
      </c>
      <c r="I63" s="55">
        <f t="shared" si="3"/>
        <v>1</v>
      </c>
    </row>
    <row r="64" spans="1:12" s="52" customFormat="1" ht="15.75">
      <c r="A64" s="52" t="s">
        <v>22</v>
      </c>
      <c r="B64" s="52" t="s">
        <v>23</v>
      </c>
      <c r="E64" s="78"/>
      <c r="F64" s="64"/>
      <c r="G64" s="64">
        <f>G65</f>
        <v>598727</v>
      </c>
      <c r="H64" s="64">
        <f>H65</f>
        <v>894968</v>
      </c>
      <c r="I64" s="55">
        <f t="shared" si="3"/>
        <v>1.494784768350183</v>
      </c>
      <c r="L64" s="66"/>
    </row>
    <row r="65" spans="3:9" ht="15.75">
      <c r="C65" s="16" t="s">
        <v>112</v>
      </c>
      <c r="D65" s="16" t="s">
        <v>113</v>
      </c>
      <c r="E65" s="79"/>
      <c r="F65" s="57"/>
      <c r="G65" s="57">
        <v>598727</v>
      </c>
      <c r="H65" s="57">
        <v>894968</v>
      </c>
      <c r="I65" s="55">
        <f t="shared" si="3"/>
        <v>1.494784768350183</v>
      </c>
    </row>
    <row r="66" spans="1:12" s="52" customFormat="1" ht="30.75" customHeight="1">
      <c r="A66" s="67" t="s">
        <v>114</v>
      </c>
      <c r="B66" s="67"/>
      <c r="C66" s="67"/>
      <c r="D66" s="67"/>
      <c r="E66" s="67"/>
      <c r="F66" s="80">
        <f>SUM(F67)</f>
        <v>3450000</v>
      </c>
      <c r="G66" s="80">
        <f>SUM(G67)</f>
        <v>2851273</v>
      </c>
      <c r="H66" s="80">
        <f>H67</f>
        <v>2851273</v>
      </c>
      <c r="I66" s="61">
        <f t="shared" si="3"/>
        <v>1</v>
      </c>
      <c r="J66" s="56"/>
      <c r="K66" s="56"/>
      <c r="L66" s="66"/>
    </row>
    <row r="67" spans="1:12" s="52" customFormat="1" ht="15.75">
      <c r="A67" s="52" t="s">
        <v>22</v>
      </c>
      <c r="B67" s="52" t="s">
        <v>23</v>
      </c>
      <c r="E67" s="78"/>
      <c r="F67" s="64">
        <f>SUM(F68)</f>
        <v>3450000</v>
      </c>
      <c r="G67" s="64">
        <f>G68</f>
        <v>2851273</v>
      </c>
      <c r="H67" s="64">
        <f>H68</f>
        <v>2851273</v>
      </c>
      <c r="I67" s="55">
        <f t="shared" si="3"/>
        <v>1</v>
      </c>
      <c r="L67" s="66"/>
    </row>
    <row r="68" spans="3:9" ht="15.75">
      <c r="C68" s="16" t="s">
        <v>112</v>
      </c>
      <c r="D68" s="16" t="s">
        <v>113</v>
      </c>
      <c r="E68" s="79"/>
      <c r="F68" s="57">
        <v>3450000</v>
      </c>
      <c r="G68" s="57">
        <v>2851273</v>
      </c>
      <c r="H68" s="57">
        <v>2851273</v>
      </c>
      <c r="I68" s="55">
        <f t="shared" si="3"/>
        <v>1</v>
      </c>
    </row>
    <row r="69" spans="1:12" ht="32.25" customHeight="1">
      <c r="A69" s="467" t="s">
        <v>115</v>
      </c>
      <c r="B69" s="467"/>
      <c r="C69" s="467"/>
      <c r="D69" s="467"/>
      <c r="E69" s="467"/>
      <c r="F69" s="60">
        <f>SUM(F70)</f>
        <v>5805012</v>
      </c>
      <c r="G69" s="60">
        <f>SUM(G75+G72+G70)</f>
        <v>142505</v>
      </c>
      <c r="H69" s="60">
        <f>H70+H72+H75</f>
        <v>142505</v>
      </c>
      <c r="I69" s="61">
        <f t="shared" si="3"/>
        <v>1</v>
      </c>
      <c r="L69" s="16"/>
    </row>
    <row r="70" spans="1:12" s="52" customFormat="1" ht="15.75">
      <c r="A70" s="52" t="s">
        <v>20</v>
      </c>
      <c r="B70" s="52" t="s">
        <v>21</v>
      </c>
      <c r="F70" s="54">
        <f>SUM(F71)</f>
        <v>5805012</v>
      </c>
      <c r="G70" s="54">
        <v>0</v>
      </c>
      <c r="H70" s="54">
        <v>0</v>
      </c>
      <c r="I70" s="55">
        <v>0</v>
      </c>
      <c r="L70" s="66"/>
    </row>
    <row r="71" spans="2:9" ht="15.75">
      <c r="B71" s="16" t="s">
        <v>110</v>
      </c>
      <c r="D71" s="16" t="s">
        <v>111</v>
      </c>
      <c r="F71" s="58">
        <v>5805012</v>
      </c>
      <c r="G71" s="58">
        <v>0</v>
      </c>
      <c r="H71" s="58">
        <v>0</v>
      </c>
      <c r="I71" s="55">
        <v>0</v>
      </c>
    </row>
    <row r="72" spans="1:9" ht="15.75">
      <c r="A72" s="52" t="s">
        <v>15</v>
      </c>
      <c r="B72" s="53" t="s">
        <v>16</v>
      </c>
      <c r="C72" s="53"/>
      <c r="D72" s="53"/>
      <c r="E72" s="53"/>
      <c r="F72" s="54"/>
      <c r="G72" s="54">
        <f>SUM(G73:G74)</f>
        <v>42505</v>
      </c>
      <c r="H72" s="54">
        <f>H73+H74</f>
        <v>42505</v>
      </c>
      <c r="I72" s="55">
        <f aca="true" t="shared" si="4" ref="I72:I93">H72/G72</f>
        <v>1</v>
      </c>
    </row>
    <row r="73" spans="1:9" ht="15.75">
      <c r="A73" s="52"/>
      <c r="B73" s="53"/>
      <c r="C73" s="62" t="s">
        <v>50</v>
      </c>
      <c r="D73" s="62" t="s">
        <v>51</v>
      </c>
      <c r="E73" s="53"/>
      <c r="F73" s="54"/>
      <c r="G73" s="58">
        <v>21000</v>
      </c>
      <c r="H73" s="81">
        <v>21000</v>
      </c>
      <c r="I73" s="55">
        <f t="shared" si="4"/>
        <v>1</v>
      </c>
    </row>
    <row r="74" spans="3:9" ht="15.75">
      <c r="C74" s="16" t="s">
        <v>56</v>
      </c>
      <c r="D74" s="16" t="s">
        <v>57</v>
      </c>
      <c r="F74" s="58"/>
      <c r="G74" s="58">
        <v>21505</v>
      </c>
      <c r="H74" s="58">
        <v>21505</v>
      </c>
      <c r="I74" s="55">
        <f t="shared" si="4"/>
        <v>1</v>
      </c>
    </row>
    <row r="75" spans="1:9" ht="15.75">
      <c r="A75" s="52" t="s">
        <v>17</v>
      </c>
      <c r="B75" s="52" t="s">
        <v>18</v>
      </c>
      <c r="C75" s="52"/>
      <c r="D75" s="52"/>
      <c r="E75" s="52"/>
      <c r="F75" s="64">
        <f>SUM(F76)</f>
        <v>5000</v>
      </c>
      <c r="G75" s="64">
        <v>100000</v>
      </c>
      <c r="H75" s="64">
        <f>H76</f>
        <v>100000</v>
      </c>
      <c r="I75" s="55">
        <f t="shared" si="4"/>
        <v>1</v>
      </c>
    </row>
    <row r="76" spans="2:9" ht="15.75">
      <c r="B76" s="16" t="s">
        <v>58</v>
      </c>
      <c r="D76" s="16" t="s">
        <v>59</v>
      </c>
      <c r="F76" s="58">
        <v>5000</v>
      </c>
      <c r="G76" s="58">
        <v>100000</v>
      </c>
      <c r="H76" s="58">
        <v>100000</v>
      </c>
      <c r="I76" s="55">
        <f t="shared" si="4"/>
        <v>1</v>
      </c>
    </row>
    <row r="77" spans="1:9" s="52" customFormat="1" ht="33" customHeight="1">
      <c r="A77" s="67" t="s">
        <v>116</v>
      </c>
      <c r="B77" s="82"/>
      <c r="C77" s="82"/>
      <c r="D77" s="82"/>
      <c r="E77" s="82"/>
      <c r="F77" s="60">
        <f>SUM(F78)</f>
        <v>3758544</v>
      </c>
      <c r="G77" s="60">
        <f>SUM(G78)</f>
        <v>5593923</v>
      </c>
      <c r="H77" s="60">
        <f>H78</f>
        <v>4493923</v>
      </c>
      <c r="I77" s="61">
        <f t="shared" si="4"/>
        <v>0.8033580369268579</v>
      </c>
    </row>
    <row r="78" spans="1:9" s="52" customFormat="1" ht="15.75">
      <c r="A78" s="78" t="s">
        <v>11</v>
      </c>
      <c r="B78" s="52" t="s">
        <v>12</v>
      </c>
      <c r="C78" s="78"/>
      <c r="D78" s="83"/>
      <c r="E78" s="84"/>
      <c r="F78" s="54">
        <f>SUM(F79)</f>
        <v>3758544</v>
      </c>
      <c r="G78" s="54">
        <f>SUM(G79)</f>
        <v>5593923</v>
      </c>
      <c r="H78" s="54">
        <v>4493923</v>
      </c>
      <c r="I78" s="55">
        <f t="shared" si="4"/>
        <v>0.8033580369268579</v>
      </c>
    </row>
    <row r="79" spans="1:12" ht="15.75">
      <c r="A79" s="78"/>
      <c r="B79" s="79" t="s">
        <v>117</v>
      </c>
      <c r="D79" s="16" t="s">
        <v>118</v>
      </c>
      <c r="E79" s="85"/>
      <c r="F79" s="86">
        <v>3758544</v>
      </c>
      <c r="G79" s="86">
        <f>5593923</f>
        <v>5593923</v>
      </c>
      <c r="H79" s="86">
        <v>4493923</v>
      </c>
      <c r="I79" s="55">
        <f t="shared" si="4"/>
        <v>0.8033580369268579</v>
      </c>
      <c r="L79" s="16"/>
    </row>
    <row r="80" spans="1:12" ht="37.5" customHeight="1">
      <c r="A80" s="467" t="s">
        <v>119</v>
      </c>
      <c r="B80" s="467"/>
      <c r="C80" s="467"/>
      <c r="D80" s="467"/>
      <c r="E80" s="467"/>
      <c r="F80" s="60">
        <f>SUM(F81)</f>
        <v>108000</v>
      </c>
      <c r="G80" s="60">
        <f>SUM(G81)</f>
        <v>108000</v>
      </c>
      <c r="H80" s="60">
        <f>H81</f>
        <v>108000</v>
      </c>
      <c r="I80" s="61">
        <f t="shared" si="4"/>
        <v>1</v>
      </c>
      <c r="L80" s="16"/>
    </row>
    <row r="81" spans="1:12" s="52" customFormat="1" ht="15.75">
      <c r="A81" s="52" t="s">
        <v>15</v>
      </c>
      <c r="B81" s="53" t="s">
        <v>16</v>
      </c>
      <c r="C81" s="53"/>
      <c r="D81" s="53"/>
      <c r="E81" s="53"/>
      <c r="F81" s="54">
        <f>SUM(F82)</f>
        <v>108000</v>
      </c>
      <c r="G81" s="54">
        <f>SUM(G82)</f>
        <v>108000</v>
      </c>
      <c r="H81" s="54">
        <v>108000</v>
      </c>
      <c r="I81" s="55">
        <f t="shared" si="4"/>
        <v>1</v>
      </c>
      <c r="J81" s="56"/>
      <c r="K81" s="56"/>
      <c r="L81" s="66"/>
    </row>
    <row r="82" spans="3:11" ht="15.75">
      <c r="C82" s="16" t="s">
        <v>50</v>
      </c>
      <c r="D82" s="16" t="s">
        <v>51</v>
      </c>
      <c r="F82" s="58">
        <v>108000</v>
      </c>
      <c r="G82" s="58">
        <v>108000</v>
      </c>
      <c r="H82" s="58">
        <v>108000</v>
      </c>
      <c r="I82" s="55">
        <f t="shared" si="4"/>
        <v>1</v>
      </c>
      <c r="J82" s="59"/>
      <c r="K82" s="59"/>
    </row>
    <row r="83" spans="1:12" ht="37.5" customHeight="1">
      <c r="A83" s="467" t="s">
        <v>120</v>
      </c>
      <c r="B83" s="467"/>
      <c r="C83" s="467"/>
      <c r="D83" s="467"/>
      <c r="E83" s="467"/>
      <c r="F83" s="60">
        <f>SUM(F84)</f>
        <v>0</v>
      </c>
      <c r="G83" s="60">
        <f>SUM(G84)</f>
        <v>43000</v>
      </c>
      <c r="H83" s="60">
        <f>H84</f>
        <v>43000</v>
      </c>
      <c r="I83" s="61">
        <f t="shared" si="4"/>
        <v>1</v>
      </c>
      <c r="L83" s="16"/>
    </row>
    <row r="84" spans="1:12" s="52" customFormat="1" ht="15.75">
      <c r="A84" s="78" t="s">
        <v>11</v>
      </c>
      <c r="B84" s="52" t="s">
        <v>12</v>
      </c>
      <c r="C84" s="78"/>
      <c r="D84" s="83"/>
      <c r="E84" s="84"/>
      <c r="F84" s="54"/>
      <c r="G84" s="54">
        <v>43000</v>
      </c>
      <c r="H84" s="54">
        <v>43000</v>
      </c>
      <c r="I84" s="55">
        <f t="shared" si="4"/>
        <v>1</v>
      </c>
      <c r="J84" s="56"/>
      <c r="K84" s="56"/>
      <c r="L84" s="66"/>
    </row>
    <row r="85" spans="1:11" ht="15.75">
      <c r="A85" s="78"/>
      <c r="B85" s="79" t="s">
        <v>117</v>
      </c>
      <c r="D85" s="16" t="s">
        <v>118</v>
      </c>
      <c r="E85" s="85"/>
      <c r="F85" s="58"/>
      <c r="G85" s="58">
        <v>43000</v>
      </c>
      <c r="H85" s="58">
        <v>43000</v>
      </c>
      <c r="I85" s="55">
        <f t="shared" si="4"/>
        <v>1</v>
      </c>
      <c r="J85" s="59"/>
      <c r="K85" s="59"/>
    </row>
    <row r="86" spans="1:12" s="52" customFormat="1" ht="30.75" customHeight="1">
      <c r="A86" s="67" t="s">
        <v>121</v>
      </c>
      <c r="B86" s="67"/>
      <c r="C86" s="67"/>
      <c r="D86" s="67"/>
      <c r="E86" s="67"/>
      <c r="F86" s="68">
        <f>SUM(F9+F13+F20+F25+F43+F69+F77+F80+F40+F66)</f>
        <v>82364000</v>
      </c>
      <c r="G86" s="68">
        <f>SUM(G9+G13+G20+G25+G40+G43+G66+G69+G77+G80+G83)</f>
        <v>94911314</v>
      </c>
      <c r="H86" s="68">
        <f>H9+H13+H20+H25+H40+H43+H66+H69+H77+H80+H83</f>
        <v>94106581</v>
      </c>
      <c r="I86" s="61">
        <f t="shared" si="4"/>
        <v>0.9915212110539319</v>
      </c>
      <c r="L86" s="66"/>
    </row>
    <row r="87" spans="1:9" ht="15.75">
      <c r="A87" s="78" t="s">
        <v>11</v>
      </c>
      <c r="B87" s="52" t="s">
        <v>12</v>
      </c>
      <c r="C87" s="78"/>
      <c r="D87" s="83"/>
      <c r="E87" s="84"/>
      <c r="F87" s="88">
        <f>F78+F44</f>
        <v>43498112</v>
      </c>
      <c r="G87" s="88">
        <f>G78+G44+G84</f>
        <v>51862852</v>
      </c>
      <c r="H87" s="88">
        <f>H78+H44+H84</f>
        <v>50762852</v>
      </c>
      <c r="I87" s="89">
        <f t="shared" si="4"/>
        <v>0.9787902138509468</v>
      </c>
    </row>
    <row r="88" spans="1:9" ht="15.75">
      <c r="A88" s="52" t="s">
        <v>20</v>
      </c>
      <c r="B88" s="52" t="s">
        <v>21</v>
      </c>
      <c r="C88" s="52"/>
      <c r="D88" s="52"/>
      <c r="E88" s="52"/>
      <c r="F88" s="88">
        <f>F70</f>
        <v>5805012</v>
      </c>
      <c r="G88" s="88">
        <f>G62+G70</f>
        <v>5805012</v>
      </c>
      <c r="H88" s="88">
        <f>H62+H70</f>
        <v>5805012</v>
      </c>
      <c r="I88" s="89">
        <f t="shared" si="4"/>
        <v>1</v>
      </c>
    </row>
    <row r="89" spans="1:9" ht="15.75">
      <c r="A89" s="52" t="s">
        <v>13</v>
      </c>
      <c r="B89" s="53" t="s">
        <v>14</v>
      </c>
      <c r="C89" s="53"/>
      <c r="D89" s="53"/>
      <c r="E89" s="53"/>
      <c r="F89" s="88">
        <f>F26</f>
        <v>8480000</v>
      </c>
      <c r="G89" s="88">
        <f>G26</f>
        <v>12185239</v>
      </c>
      <c r="H89" s="88">
        <f>H26</f>
        <v>12185239</v>
      </c>
      <c r="I89" s="89">
        <f t="shared" si="4"/>
        <v>1</v>
      </c>
    </row>
    <row r="90" spans="1:9" ht="15.75">
      <c r="A90" s="52" t="s">
        <v>15</v>
      </c>
      <c r="B90" s="53" t="s">
        <v>16</v>
      </c>
      <c r="C90" s="53"/>
      <c r="D90" s="53"/>
      <c r="E90" s="53"/>
      <c r="F90" s="88">
        <f>F10+F14+F41+F81</f>
        <v>389000</v>
      </c>
      <c r="G90" s="88">
        <f>G10+G14+G41+G72+G81</f>
        <v>771335</v>
      </c>
      <c r="H90" s="88">
        <f>H10+H14+H41+H72+H81</f>
        <v>770361</v>
      </c>
      <c r="I90" s="89">
        <f t="shared" si="4"/>
        <v>0.9987372542410237</v>
      </c>
    </row>
    <row r="91" spans="1:9" ht="15.75">
      <c r="A91" s="52" t="s">
        <v>17</v>
      </c>
      <c r="B91" s="52" t="s">
        <v>18</v>
      </c>
      <c r="C91" s="52"/>
      <c r="D91" s="52"/>
      <c r="E91" s="52"/>
      <c r="F91" s="88">
        <f>F18</f>
        <v>5000</v>
      </c>
      <c r="G91" s="88">
        <f>G18+G75</f>
        <v>100000</v>
      </c>
      <c r="H91" s="88">
        <f>H18+H75</f>
        <v>100000</v>
      </c>
      <c r="I91" s="89">
        <f t="shared" si="4"/>
        <v>1</v>
      </c>
    </row>
    <row r="92" spans="1:9" ht="15.75">
      <c r="A92" s="52" t="s">
        <v>22</v>
      </c>
      <c r="B92" s="52" t="s">
        <v>23</v>
      </c>
      <c r="C92" s="52"/>
      <c r="D92" s="52"/>
      <c r="E92" s="78"/>
      <c r="F92" s="90">
        <f>F67+F21</f>
        <v>24186876</v>
      </c>
      <c r="G92" s="90">
        <f>G64+G67+G21</f>
        <v>24186876</v>
      </c>
      <c r="H92" s="90">
        <f>H64+H67+H21</f>
        <v>24483117</v>
      </c>
      <c r="I92" s="89">
        <f t="shared" si="4"/>
        <v>1.0122480059020438</v>
      </c>
    </row>
    <row r="93" spans="1:12" s="52" customFormat="1" ht="15.75">
      <c r="A93" s="91" t="s">
        <v>121</v>
      </c>
      <c r="B93" s="92"/>
      <c r="C93" s="92"/>
      <c r="D93" s="92"/>
      <c r="E93" s="92"/>
      <c r="F93" s="93">
        <f>SUM(F87:F92)</f>
        <v>82364000</v>
      </c>
      <c r="G93" s="93">
        <f>SUM(G87:G92)</f>
        <v>94911314</v>
      </c>
      <c r="H93" s="93">
        <f>SUM(H87:H92)</f>
        <v>94106581</v>
      </c>
      <c r="I93" s="94">
        <f t="shared" si="4"/>
        <v>0.9915212110539319</v>
      </c>
      <c r="L93" s="66"/>
    </row>
    <row r="94" ht="15.75">
      <c r="E94" s="95"/>
    </row>
    <row r="95" ht="15.75">
      <c r="E95" s="95"/>
    </row>
    <row r="96" ht="15.75">
      <c r="E96" s="95"/>
    </row>
    <row r="97" ht="15.75">
      <c r="E97" s="95"/>
    </row>
  </sheetData>
  <sheetProtection selectLockedCells="1" selectUnlockedCells="1"/>
  <mergeCells count="12">
    <mergeCell ref="A13:E13"/>
    <mergeCell ref="A20:E20"/>
    <mergeCell ref="D53:E53"/>
    <mergeCell ref="A69:E69"/>
    <mergeCell ref="A80:E80"/>
    <mergeCell ref="A83:E83"/>
    <mergeCell ref="A2:F2"/>
    <mergeCell ref="A3:I3"/>
    <mergeCell ref="A4:I4"/>
    <mergeCell ref="A5:I5"/>
    <mergeCell ref="A7:E8"/>
    <mergeCell ref="A1:I1"/>
  </mergeCells>
  <printOptions gridLines="1" headings="1"/>
  <pageMargins left="0.75" right="0.75" top="1" bottom="1" header="0.5118055555555555" footer="0.5118055555555555"/>
  <pageSetup horizontalDpi="600" verticalDpi="600" orientation="portrait" paperSize="9" scale="56" r:id="rId1"/>
  <rowBreaks count="1" manualBreakCount="1">
    <brk id="68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E28"/>
  <sheetViews>
    <sheetView zoomScaleSheetLayoutView="110" zoomScalePageLayoutView="0" workbookViewId="0" topLeftCell="A1">
      <pane ySplit="4" topLeftCell="A14" activePane="bottomLeft" state="frozen"/>
      <selection pane="topLeft" activeCell="A1" sqref="A1"/>
      <selection pane="bottomLeft" activeCell="A1" sqref="A1:E1"/>
    </sheetView>
  </sheetViews>
  <sheetFormatPr defaultColWidth="8.8515625" defaultRowHeight="12.75"/>
  <cols>
    <col min="1" max="1" width="8.28125" style="355" customWidth="1"/>
    <col min="2" max="2" width="41.00390625" style="355" customWidth="1"/>
    <col min="3" max="3" width="14.28125" style="355" customWidth="1"/>
    <col min="4" max="4" width="14.57421875" style="355" customWidth="1"/>
    <col min="5" max="5" width="17.140625" style="355" customWidth="1"/>
    <col min="6" max="16384" width="8.8515625" style="355" customWidth="1"/>
  </cols>
  <sheetData>
    <row r="1" spans="1:5" ht="12.75">
      <c r="A1" s="498" t="s">
        <v>592</v>
      </c>
      <c r="B1" s="498"/>
      <c r="C1" s="498"/>
      <c r="D1" s="498"/>
      <c r="E1" s="498"/>
    </row>
    <row r="2" spans="1:5" ht="12.75" customHeight="1">
      <c r="A2" s="500" t="s">
        <v>365</v>
      </c>
      <c r="B2" s="500"/>
      <c r="C2" s="500"/>
      <c r="D2" s="500"/>
      <c r="E2" s="500"/>
    </row>
    <row r="3" spans="1:5" ht="31.5">
      <c r="A3" s="371" t="s">
        <v>345</v>
      </c>
      <c r="B3" s="371" t="s">
        <v>272</v>
      </c>
      <c r="C3" s="371" t="s">
        <v>366</v>
      </c>
      <c r="D3" s="371" t="s">
        <v>367</v>
      </c>
      <c r="E3" s="371" t="s">
        <v>368</v>
      </c>
    </row>
    <row r="4" spans="1:5" ht="15.75">
      <c r="A4" s="371">
        <v>1</v>
      </c>
      <c r="B4" s="371">
        <v>2</v>
      </c>
      <c r="C4" s="371">
        <v>3</v>
      </c>
      <c r="D4" s="371">
        <v>4</v>
      </c>
      <c r="E4" s="371">
        <v>5</v>
      </c>
    </row>
    <row r="5" spans="1:5" ht="12.75">
      <c r="A5" s="422" t="s">
        <v>389</v>
      </c>
      <c r="B5" s="423" t="s">
        <v>390</v>
      </c>
      <c r="C5" s="424">
        <v>190440</v>
      </c>
      <c r="D5" s="424">
        <v>0</v>
      </c>
      <c r="E5" s="424">
        <v>14405</v>
      </c>
    </row>
    <row r="6" spans="1:5" ht="25.5">
      <c r="A6" s="425" t="s">
        <v>391</v>
      </c>
      <c r="B6" s="426" t="s">
        <v>392</v>
      </c>
      <c r="C6" s="427">
        <v>190440</v>
      </c>
      <c r="D6" s="427">
        <v>0</v>
      </c>
      <c r="E6" s="427">
        <v>14405</v>
      </c>
    </row>
    <row r="7" spans="1:5" ht="12.75">
      <c r="A7" s="422" t="s">
        <v>393</v>
      </c>
      <c r="B7" s="423" t="s">
        <v>394</v>
      </c>
      <c r="C7" s="424">
        <v>2435371</v>
      </c>
      <c r="D7" s="424">
        <v>0</v>
      </c>
      <c r="E7" s="424">
        <v>696926</v>
      </c>
    </row>
    <row r="8" spans="1:5" ht="12.75">
      <c r="A8" s="425" t="s">
        <v>395</v>
      </c>
      <c r="B8" s="426" t="s">
        <v>396</v>
      </c>
      <c r="C8" s="427">
        <v>2435371</v>
      </c>
      <c r="D8" s="427">
        <v>0</v>
      </c>
      <c r="E8" s="427">
        <v>696926</v>
      </c>
    </row>
    <row r="9" spans="1:5" ht="12.75">
      <c r="A9" s="425" t="s">
        <v>397</v>
      </c>
      <c r="B9" s="426" t="s">
        <v>398</v>
      </c>
      <c r="C9" s="427">
        <v>2625811</v>
      </c>
      <c r="D9" s="427">
        <v>0</v>
      </c>
      <c r="E9" s="427">
        <v>711331</v>
      </c>
    </row>
    <row r="10" spans="1:5" ht="25.5">
      <c r="A10" s="422" t="s">
        <v>407</v>
      </c>
      <c r="B10" s="423" t="s">
        <v>408</v>
      </c>
      <c r="C10" s="424">
        <v>0</v>
      </c>
      <c r="D10" s="424">
        <v>0</v>
      </c>
      <c r="E10" s="424">
        <v>1325830</v>
      </c>
    </row>
    <row r="11" spans="1:5" ht="25.5">
      <c r="A11" s="422" t="s">
        <v>561</v>
      </c>
      <c r="B11" s="423" t="s">
        <v>562</v>
      </c>
      <c r="C11" s="424">
        <v>0</v>
      </c>
      <c r="D11" s="424">
        <v>0</v>
      </c>
      <c r="E11" s="424">
        <v>1325830</v>
      </c>
    </row>
    <row r="12" spans="1:5" ht="25.5">
      <c r="A12" s="425" t="s">
        <v>415</v>
      </c>
      <c r="B12" s="426" t="s">
        <v>416</v>
      </c>
      <c r="C12" s="427">
        <v>0</v>
      </c>
      <c r="D12" s="427">
        <v>0</v>
      </c>
      <c r="E12" s="427">
        <v>1325830</v>
      </c>
    </row>
    <row r="13" spans="1:5" ht="12.75">
      <c r="A13" s="425" t="s">
        <v>425</v>
      </c>
      <c r="B13" s="426" t="s">
        <v>426</v>
      </c>
      <c r="C13" s="427">
        <v>0</v>
      </c>
      <c r="D13" s="427">
        <v>0</v>
      </c>
      <c r="E13" s="427">
        <v>1325830</v>
      </c>
    </row>
    <row r="14" spans="1:5" ht="25.5">
      <c r="A14" s="422" t="s">
        <v>427</v>
      </c>
      <c r="B14" s="423" t="s">
        <v>428</v>
      </c>
      <c r="C14" s="424">
        <v>31650</v>
      </c>
      <c r="D14" s="424">
        <v>0</v>
      </c>
      <c r="E14" s="424">
        <v>0</v>
      </c>
    </row>
    <row r="15" spans="1:5" ht="25.5">
      <c r="A15" s="425" t="s">
        <v>429</v>
      </c>
      <c r="B15" s="426" t="s">
        <v>430</v>
      </c>
      <c r="C15" s="427">
        <v>31650</v>
      </c>
      <c r="D15" s="427">
        <v>0</v>
      </c>
      <c r="E15" s="427">
        <v>0</v>
      </c>
    </row>
    <row r="16" spans="1:5" ht="25.5">
      <c r="A16" s="425" t="s">
        <v>431</v>
      </c>
      <c r="B16" s="426" t="s">
        <v>432</v>
      </c>
      <c r="C16" s="427">
        <v>31650</v>
      </c>
      <c r="D16" s="427">
        <v>0</v>
      </c>
      <c r="E16" s="427">
        <v>0</v>
      </c>
    </row>
    <row r="17" spans="1:5" ht="12.75">
      <c r="A17" s="425" t="s">
        <v>433</v>
      </c>
      <c r="B17" s="426" t="s">
        <v>434</v>
      </c>
      <c r="C17" s="427">
        <v>2657461</v>
      </c>
      <c r="D17" s="427">
        <v>0</v>
      </c>
      <c r="E17" s="427">
        <v>2037161</v>
      </c>
    </row>
    <row r="18" spans="1:5" ht="12.75">
      <c r="A18" s="422" t="s">
        <v>435</v>
      </c>
      <c r="B18" s="423" t="s">
        <v>436</v>
      </c>
      <c r="C18" s="424">
        <v>139999</v>
      </c>
      <c r="D18" s="424">
        <v>0</v>
      </c>
      <c r="E18" s="424">
        <v>139999</v>
      </c>
    </row>
    <row r="19" spans="1:5" ht="25.5">
      <c r="A19" s="422" t="s">
        <v>439</v>
      </c>
      <c r="B19" s="423" t="s">
        <v>440</v>
      </c>
      <c r="C19" s="424">
        <v>98999</v>
      </c>
      <c r="D19" s="424">
        <v>0</v>
      </c>
      <c r="E19" s="424">
        <v>98999</v>
      </c>
    </row>
    <row r="20" spans="1:5" ht="12.75">
      <c r="A20" s="422" t="s">
        <v>441</v>
      </c>
      <c r="B20" s="423" t="s">
        <v>442</v>
      </c>
      <c r="C20" s="424">
        <v>1033462</v>
      </c>
      <c r="D20" s="424">
        <v>0</v>
      </c>
      <c r="E20" s="424">
        <v>2418463</v>
      </c>
    </row>
    <row r="21" spans="1:5" ht="12.75">
      <c r="A21" s="422" t="s">
        <v>443</v>
      </c>
      <c r="B21" s="423" t="s">
        <v>444</v>
      </c>
      <c r="C21" s="424">
        <v>1385001</v>
      </c>
      <c r="D21" s="424">
        <v>0</v>
      </c>
      <c r="E21" s="424">
        <v>-3729553</v>
      </c>
    </row>
    <row r="22" spans="1:5" ht="12.75">
      <c r="A22" s="425" t="s">
        <v>445</v>
      </c>
      <c r="B22" s="426" t="s">
        <v>446</v>
      </c>
      <c r="C22" s="427">
        <v>2657461</v>
      </c>
      <c r="D22" s="427">
        <v>0</v>
      </c>
      <c r="E22" s="427">
        <v>-1072092</v>
      </c>
    </row>
    <row r="23" spans="1:5" ht="25.5">
      <c r="A23" s="422" t="s">
        <v>447</v>
      </c>
      <c r="B23" s="423" t="s">
        <v>448</v>
      </c>
      <c r="C23" s="424">
        <v>0</v>
      </c>
      <c r="D23" s="424">
        <v>0</v>
      </c>
      <c r="E23" s="424">
        <v>675</v>
      </c>
    </row>
    <row r="24" spans="1:5" ht="25.5">
      <c r="A24" s="425" t="s">
        <v>451</v>
      </c>
      <c r="B24" s="426" t="s">
        <v>452</v>
      </c>
      <c r="C24" s="427">
        <v>0</v>
      </c>
      <c r="D24" s="427">
        <v>0</v>
      </c>
      <c r="E24" s="427">
        <v>675</v>
      </c>
    </row>
    <row r="25" spans="1:5" ht="12.75">
      <c r="A25" s="425" t="s">
        <v>465</v>
      </c>
      <c r="B25" s="426" t="s">
        <v>466</v>
      </c>
      <c r="C25" s="427">
        <v>0</v>
      </c>
      <c r="D25" s="427">
        <v>0</v>
      </c>
      <c r="E25" s="427">
        <v>675</v>
      </c>
    </row>
    <row r="26" spans="1:5" ht="25.5">
      <c r="A26" s="422" t="s">
        <v>467</v>
      </c>
      <c r="B26" s="423" t="s">
        <v>468</v>
      </c>
      <c r="C26" s="424">
        <v>0</v>
      </c>
      <c r="D26" s="424">
        <v>0</v>
      </c>
      <c r="E26" s="424">
        <v>3108578</v>
      </c>
    </row>
    <row r="27" spans="1:5" ht="25.5">
      <c r="A27" s="425" t="s">
        <v>469</v>
      </c>
      <c r="B27" s="426" t="s">
        <v>470</v>
      </c>
      <c r="C27" s="427">
        <v>0</v>
      </c>
      <c r="D27" s="427">
        <v>0</v>
      </c>
      <c r="E27" s="427">
        <v>3108578</v>
      </c>
    </row>
    <row r="28" spans="1:5" ht="12.75">
      <c r="A28" s="425" t="s">
        <v>471</v>
      </c>
      <c r="B28" s="426" t="s">
        <v>472</v>
      </c>
      <c r="C28" s="427">
        <v>2657461</v>
      </c>
      <c r="D28" s="427">
        <v>0</v>
      </c>
      <c r="E28" s="427">
        <v>2037161</v>
      </c>
    </row>
  </sheetData>
  <sheetProtection selectLockedCells="1" selectUnlockedCells="1"/>
  <mergeCells count="2">
    <mergeCell ref="A1:E1"/>
    <mergeCell ref="A2:E2"/>
  </mergeCells>
  <printOptions/>
  <pageMargins left="0.75" right="0.75" top="1" bottom="1" header="0.5" footer="0.5"/>
  <pageSetup horizontalDpi="300" verticalDpi="300" orientation="portrait" scale="95" r:id="rId1"/>
  <headerFooter alignWithMargins="0">
    <oddHeader>&amp;RÉrték típus: Forint</oddHeader>
    <oddFooter>&amp;LAdatellenőrző kód: -5e-714a-26-38-5a-c1c-2049-35-1620-6f40-637a45-2534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E24"/>
  <sheetViews>
    <sheetView zoomScaleSheetLayoutView="110" zoomScalePageLayoutView="0" workbookViewId="0" topLeftCell="A1">
      <pane ySplit="4" topLeftCell="A5" activePane="bottomLeft" state="frozen"/>
      <selection pane="topLeft" activeCell="A1" sqref="A1"/>
      <selection pane="bottomLeft" activeCell="A1" sqref="A1:E1"/>
    </sheetView>
  </sheetViews>
  <sheetFormatPr defaultColWidth="8.8515625" defaultRowHeight="12.75"/>
  <cols>
    <col min="1" max="1" width="8.28125" style="355" customWidth="1"/>
    <col min="2" max="2" width="41.00390625" style="355" customWidth="1"/>
    <col min="3" max="3" width="20.00390625" style="355" customWidth="1"/>
    <col min="4" max="4" width="18.00390625" style="355" customWidth="1"/>
    <col min="5" max="5" width="17.421875" style="355" customWidth="1"/>
    <col min="6" max="16384" width="8.8515625" style="355" customWidth="1"/>
  </cols>
  <sheetData>
    <row r="1" spans="1:5" ht="19.5" customHeight="1">
      <c r="A1" s="498" t="s">
        <v>593</v>
      </c>
      <c r="B1" s="498"/>
      <c r="C1" s="498"/>
      <c r="D1" s="498"/>
      <c r="E1" s="498"/>
    </row>
    <row r="2" spans="1:5" ht="24.75" customHeight="1">
      <c r="A2" s="500" t="s">
        <v>473</v>
      </c>
      <c r="B2" s="500"/>
      <c r="C2" s="500"/>
      <c r="D2" s="500"/>
      <c r="E2" s="500"/>
    </row>
    <row r="3" spans="1:5" ht="15.75">
      <c r="A3" s="371" t="s">
        <v>345</v>
      </c>
      <c r="B3" s="371" t="s">
        <v>272</v>
      </c>
      <c r="C3" s="371" t="s">
        <v>366</v>
      </c>
      <c r="D3" s="371" t="s">
        <v>367</v>
      </c>
      <c r="E3" s="371" t="s">
        <v>368</v>
      </c>
    </row>
    <row r="4" spans="1:5" ht="15.75">
      <c r="A4" s="371">
        <v>1</v>
      </c>
      <c r="B4" s="371">
        <v>2</v>
      </c>
      <c r="C4" s="371">
        <v>3</v>
      </c>
      <c r="D4" s="371">
        <v>4</v>
      </c>
      <c r="E4" s="371">
        <v>5</v>
      </c>
    </row>
    <row r="5" spans="1:5" ht="25.5">
      <c r="A5" s="422" t="s">
        <v>349</v>
      </c>
      <c r="B5" s="423" t="s">
        <v>475</v>
      </c>
      <c r="C5" s="424">
        <v>20477485</v>
      </c>
      <c r="D5" s="424">
        <v>0</v>
      </c>
      <c r="E5" s="424">
        <v>23514717</v>
      </c>
    </row>
    <row r="6" spans="1:5" ht="25.5">
      <c r="A6" s="425" t="s">
        <v>353</v>
      </c>
      <c r="B6" s="426" t="s">
        <v>477</v>
      </c>
      <c r="C6" s="427">
        <v>20477485</v>
      </c>
      <c r="D6" s="427">
        <v>0</v>
      </c>
      <c r="E6" s="427">
        <v>23514717</v>
      </c>
    </row>
    <row r="7" spans="1:5" ht="25.5">
      <c r="A7" s="422" t="s">
        <v>478</v>
      </c>
      <c r="B7" s="423" t="s">
        <v>479</v>
      </c>
      <c r="C7" s="424">
        <v>24822976</v>
      </c>
      <c r="D7" s="424">
        <v>0</v>
      </c>
      <c r="E7" s="424">
        <v>24489819</v>
      </c>
    </row>
    <row r="8" spans="1:5" ht="25.5">
      <c r="A8" s="422" t="s">
        <v>480</v>
      </c>
      <c r="B8" s="423" t="s">
        <v>481</v>
      </c>
      <c r="C8" s="424">
        <v>1029903</v>
      </c>
      <c r="D8" s="424">
        <v>0</v>
      </c>
      <c r="E8" s="424">
        <v>1244746</v>
      </c>
    </row>
    <row r="9" spans="1:5" ht="12.75">
      <c r="A9" s="422" t="s">
        <v>375</v>
      </c>
      <c r="B9" s="423" t="s">
        <v>483</v>
      </c>
      <c r="C9" s="424">
        <v>0</v>
      </c>
      <c r="D9" s="424">
        <v>0</v>
      </c>
      <c r="E9" s="424">
        <v>5</v>
      </c>
    </row>
    <row r="10" spans="1:5" ht="25.5">
      <c r="A10" s="425" t="s">
        <v>484</v>
      </c>
      <c r="B10" s="426" t="s">
        <v>485</v>
      </c>
      <c r="C10" s="427">
        <v>25852879</v>
      </c>
      <c r="D10" s="427">
        <v>0</v>
      </c>
      <c r="E10" s="427">
        <v>25734570</v>
      </c>
    </row>
    <row r="11" spans="1:5" ht="12.75">
      <c r="A11" s="422" t="s">
        <v>486</v>
      </c>
      <c r="B11" s="423" t="s">
        <v>487</v>
      </c>
      <c r="C11" s="424">
        <v>3119250</v>
      </c>
      <c r="D11" s="424">
        <v>0</v>
      </c>
      <c r="E11" s="424">
        <v>3710781</v>
      </c>
    </row>
    <row r="12" spans="1:5" ht="12.75">
      <c r="A12" s="422" t="s">
        <v>488</v>
      </c>
      <c r="B12" s="423" t="s">
        <v>489</v>
      </c>
      <c r="C12" s="424">
        <v>9795914</v>
      </c>
      <c r="D12" s="424">
        <v>0</v>
      </c>
      <c r="E12" s="424">
        <v>10764517</v>
      </c>
    </row>
    <row r="13" spans="1:5" ht="12.75">
      <c r="A13" s="425" t="s">
        <v>363</v>
      </c>
      <c r="B13" s="426" t="s">
        <v>490</v>
      </c>
      <c r="C13" s="427">
        <v>12915164</v>
      </c>
      <c r="D13" s="427">
        <v>0</v>
      </c>
      <c r="E13" s="427">
        <v>14475298</v>
      </c>
    </row>
    <row r="14" spans="1:5" ht="12.75">
      <c r="A14" s="422" t="s">
        <v>491</v>
      </c>
      <c r="B14" s="423" t="s">
        <v>492</v>
      </c>
      <c r="C14" s="424">
        <v>21850344</v>
      </c>
      <c r="D14" s="424">
        <v>0</v>
      </c>
      <c r="E14" s="424">
        <v>27532290</v>
      </c>
    </row>
    <row r="15" spans="1:5" ht="12.75">
      <c r="A15" s="422" t="s">
        <v>493</v>
      </c>
      <c r="B15" s="423" t="s">
        <v>494</v>
      </c>
      <c r="C15" s="424">
        <v>1820883</v>
      </c>
      <c r="D15" s="424">
        <v>0</v>
      </c>
      <c r="E15" s="424">
        <v>1617929</v>
      </c>
    </row>
    <row r="16" spans="1:5" ht="12.75">
      <c r="A16" s="422" t="s">
        <v>495</v>
      </c>
      <c r="B16" s="423" t="s">
        <v>496</v>
      </c>
      <c r="C16" s="424">
        <v>5280242</v>
      </c>
      <c r="D16" s="424">
        <v>0</v>
      </c>
      <c r="E16" s="424">
        <v>5843232</v>
      </c>
    </row>
    <row r="17" spans="1:5" ht="12.75">
      <c r="A17" s="425" t="s">
        <v>379</v>
      </c>
      <c r="B17" s="426" t="s">
        <v>497</v>
      </c>
      <c r="C17" s="427">
        <v>28951469</v>
      </c>
      <c r="D17" s="427">
        <v>0</v>
      </c>
      <c r="E17" s="427">
        <v>34993451</v>
      </c>
    </row>
    <row r="18" spans="1:5" ht="12.75">
      <c r="A18" s="425" t="s">
        <v>381</v>
      </c>
      <c r="B18" s="426" t="s">
        <v>498</v>
      </c>
      <c r="C18" s="427">
        <v>102361</v>
      </c>
      <c r="D18" s="427">
        <v>0</v>
      </c>
      <c r="E18" s="427">
        <v>264568</v>
      </c>
    </row>
    <row r="19" spans="1:5" ht="12.75">
      <c r="A19" s="425" t="s">
        <v>499</v>
      </c>
      <c r="B19" s="426" t="s">
        <v>500</v>
      </c>
      <c r="C19" s="427">
        <v>2976417</v>
      </c>
      <c r="D19" s="427">
        <v>0</v>
      </c>
      <c r="E19" s="427">
        <v>3245524</v>
      </c>
    </row>
    <row r="20" spans="1:5" ht="25.5">
      <c r="A20" s="425" t="s">
        <v>383</v>
      </c>
      <c r="B20" s="426" t="s">
        <v>501</v>
      </c>
      <c r="C20" s="427">
        <v>1384953</v>
      </c>
      <c r="D20" s="427">
        <v>0</v>
      </c>
      <c r="E20" s="427">
        <v>-3729554</v>
      </c>
    </row>
    <row r="21" spans="1:5" ht="25.5">
      <c r="A21" s="422" t="s">
        <v>387</v>
      </c>
      <c r="B21" s="423" t="s">
        <v>502</v>
      </c>
      <c r="C21" s="424">
        <v>48</v>
      </c>
      <c r="D21" s="424">
        <v>0</v>
      </c>
      <c r="E21" s="424">
        <v>1</v>
      </c>
    </row>
    <row r="22" spans="1:5" ht="25.5">
      <c r="A22" s="425" t="s">
        <v>503</v>
      </c>
      <c r="B22" s="426" t="s">
        <v>504</v>
      </c>
      <c r="C22" s="427">
        <v>48</v>
      </c>
      <c r="D22" s="427">
        <v>0</v>
      </c>
      <c r="E22" s="427">
        <v>1</v>
      </c>
    </row>
    <row r="23" spans="1:5" ht="25.5">
      <c r="A23" s="425" t="s">
        <v>505</v>
      </c>
      <c r="B23" s="426" t="s">
        <v>506</v>
      </c>
      <c r="C23" s="427">
        <v>48</v>
      </c>
      <c r="D23" s="427">
        <v>0</v>
      </c>
      <c r="E23" s="427">
        <v>1</v>
      </c>
    </row>
    <row r="24" spans="1:5" ht="12.75">
      <c r="A24" s="425" t="s">
        <v>507</v>
      </c>
      <c r="B24" s="426" t="s">
        <v>508</v>
      </c>
      <c r="C24" s="427">
        <v>1385001</v>
      </c>
      <c r="D24" s="427">
        <v>0</v>
      </c>
      <c r="E24" s="427">
        <v>-3729553</v>
      </c>
    </row>
  </sheetData>
  <sheetProtection selectLockedCells="1" selectUnlockedCells="1"/>
  <mergeCells count="2">
    <mergeCell ref="A1:E1"/>
    <mergeCell ref="A2:E2"/>
  </mergeCells>
  <printOptions/>
  <pageMargins left="0.75" right="0.75" top="1" bottom="1" header="0.5" footer="0.5"/>
  <pageSetup horizontalDpi="300" verticalDpi="300" orientation="portrait" scale="87" r:id="rId1"/>
  <headerFooter alignWithMargins="0">
    <oddHeader>&amp;RÉrték típus: Forint</oddHeader>
    <oddFooter>&amp;LAdatellenőrző kód: -5e-714a-26-38-5a-c1c-2049-35-1620-6f40-637a45-2534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16"/>
  <sheetViews>
    <sheetView zoomScaleSheetLayoutView="110" zoomScalePageLayoutView="0" workbookViewId="0" topLeftCell="A1">
      <pane ySplit="4" topLeftCell="A5" activePane="bottomLeft" state="frozen"/>
      <selection pane="topLeft" activeCell="A1" sqref="A1"/>
      <selection pane="bottomLeft" activeCell="A1" sqref="A1:I1"/>
    </sheetView>
  </sheetViews>
  <sheetFormatPr defaultColWidth="8.8515625" defaultRowHeight="12.75"/>
  <cols>
    <col min="1" max="1" width="8.28125" style="355" customWidth="1"/>
    <col min="2" max="2" width="39.7109375" style="355" customWidth="1"/>
    <col min="3" max="3" width="13.140625" style="355" customWidth="1"/>
    <col min="4" max="4" width="15.8515625" style="355" customWidth="1"/>
    <col min="5" max="6" width="13.8515625" style="355" customWidth="1"/>
    <col min="7" max="7" width="14.7109375" style="355" customWidth="1"/>
    <col min="8" max="8" width="16.57421875" style="355" customWidth="1"/>
    <col min="9" max="9" width="14.7109375" style="355" customWidth="1"/>
    <col min="10" max="16384" width="8.8515625" style="355" customWidth="1"/>
  </cols>
  <sheetData>
    <row r="1" spans="1:9" ht="12.75">
      <c r="A1" s="498" t="s">
        <v>594</v>
      </c>
      <c r="B1" s="498"/>
      <c r="C1" s="498"/>
      <c r="D1" s="498"/>
      <c r="E1" s="498"/>
      <c r="F1" s="498"/>
      <c r="G1" s="498"/>
      <c r="H1" s="498"/>
      <c r="I1" s="498"/>
    </row>
    <row r="2" spans="1:9" ht="28.5" customHeight="1">
      <c r="A2" s="500" t="s">
        <v>509</v>
      </c>
      <c r="B2" s="500"/>
      <c r="C2" s="500"/>
      <c r="D2" s="500"/>
      <c r="E2" s="500"/>
      <c r="F2" s="500"/>
      <c r="G2" s="500"/>
      <c r="H2" s="500"/>
      <c r="I2" s="500"/>
    </row>
    <row r="3" spans="1:9" s="405" customFormat="1" ht="60">
      <c r="A3" s="441" t="s">
        <v>345</v>
      </c>
      <c r="B3" s="442" t="s">
        <v>272</v>
      </c>
      <c r="C3" s="442" t="s">
        <v>510</v>
      </c>
      <c r="D3" s="442" t="s">
        <v>511</v>
      </c>
      <c r="E3" s="442" t="s">
        <v>512</v>
      </c>
      <c r="F3" s="442" t="s">
        <v>513</v>
      </c>
      <c r="G3" s="442" t="s">
        <v>514</v>
      </c>
      <c r="H3" s="442" t="s">
        <v>515</v>
      </c>
      <c r="I3" s="443" t="s">
        <v>516</v>
      </c>
    </row>
    <row r="4" spans="1:9" ht="15.75">
      <c r="A4" s="391">
        <v>1</v>
      </c>
      <c r="B4" s="392">
        <v>2</v>
      </c>
      <c r="C4" s="392">
        <v>3</v>
      </c>
      <c r="D4" s="392">
        <v>4</v>
      </c>
      <c r="E4" s="392">
        <v>5</v>
      </c>
      <c r="F4" s="392">
        <v>6</v>
      </c>
      <c r="G4" s="392">
        <v>7</v>
      </c>
      <c r="H4" s="392">
        <v>8</v>
      </c>
      <c r="I4" s="393">
        <v>9</v>
      </c>
    </row>
    <row r="5" spans="1:9" ht="25.5">
      <c r="A5" s="425" t="s">
        <v>347</v>
      </c>
      <c r="B5" s="426" t="s">
        <v>517</v>
      </c>
      <c r="C5" s="427">
        <v>0</v>
      </c>
      <c r="D5" s="427">
        <v>0</v>
      </c>
      <c r="E5" s="427">
        <v>849755</v>
      </c>
      <c r="F5" s="427">
        <v>0</v>
      </c>
      <c r="G5" s="427">
        <v>0</v>
      </c>
      <c r="H5" s="427">
        <v>0</v>
      </c>
      <c r="I5" s="427">
        <v>849755</v>
      </c>
    </row>
    <row r="6" spans="1:9" ht="25.5">
      <c r="A6" s="422" t="s">
        <v>349</v>
      </c>
      <c r="B6" s="423" t="s">
        <v>563</v>
      </c>
      <c r="C6" s="424">
        <v>0</v>
      </c>
      <c r="D6" s="424">
        <v>0</v>
      </c>
      <c r="E6" s="424">
        <v>0</v>
      </c>
      <c r="F6" s="424">
        <v>0</v>
      </c>
      <c r="G6" s="424">
        <v>264568</v>
      </c>
      <c r="H6" s="424">
        <v>0</v>
      </c>
      <c r="I6" s="424">
        <v>264568</v>
      </c>
    </row>
    <row r="7" spans="1:9" ht="12.75">
      <c r="A7" s="422" t="s">
        <v>353</v>
      </c>
      <c r="B7" s="423" t="s">
        <v>519</v>
      </c>
      <c r="C7" s="424">
        <v>0</v>
      </c>
      <c r="D7" s="424">
        <v>0</v>
      </c>
      <c r="E7" s="424">
        <v>264568</v>
      </c>
      <c r="F7" s="424">
        <v>0</v>
      </c>
      <c r="G7" s="424">
        <v>0</v>
      </c>
      <c r="H7" s="424">
        <v>0</v>
      </c>
      <c r="I7" s="424">
        <v>264568</v>
      </c>
    </row>
    <row r="8" spans="1:9" ht="12.75">
      <c r="A8" s="425" t="s">
        <v>478</v>
      </c>
      <c r="B8" s="426" t="s">
        <v>521</v>
      </c>
      <c r="C8" s="427">
        <v>0</v>
      </c>
      <c r="D8" s="427">
        <v>0</v>
      </c>
      <c r="E8" s="427">
        <v>264568</v>
      </c>
      <c r="F8" s="427">
        <v>0</v>
      </c>
      <c r="G8" s="427">
        <v>264568</v>
      </c>
      <c r="H8" s="427">
        <v>0</v>
      </c>
      <c r="I8" s="427">
        <v>529136</v>
      </c>
    </row>
    <row r="9" spans="1:9" ht="12.75">
      <c r="A9" s="422" t="s">
        <v>486</v>
      </c>
      <c r="B9" s="423" t="s">
        <v>522</v>
      </c>
      <c r="C9" s="424">
        <v>0</v>
      </c>
      <c r="D9" s="424">
        <v>0</v>
      </c>
      <c r="E9" s="424">
        <v>0</v>
      </c>
      <c r="F9" s="424">
        <v>0</v>
      </c>
      <c r="G9" s="424">
        <v>264568</v>
      </c>
      <c r="H9" s="424">
        <v>0</v>
      </c>
      <c r="I9" s="424">
        <v>264568</v>
      </c>
    </row>
    <row r="10" spans="1:9" ht="12.75">
      <c r="A10" s="425" t="s">
        <v>488</v>
      </c>
      <c r="B10" s="426" t="s">
        <v>523</v>
      </c>
      <c r="C10" s="427">
        <v>0</v>
      </c>
      <c r="D10" s="427">
        <v>0</v>
      </c>
      <c r="E10" s="427">
        <v>0</v>
      </c>
      <c r="F10" s="427">
        <v>0</v>
      </c>
      <c r="G10" s="427">
        <v>264568</v>
      </c>
      <c r="H10" s="427">
        <v>0</v>
      </c>
      <c r="I10" s="427">
        <v>264568</v>
      </c>
    </row>
    <row r="11" spans="1:9" ht="12.75">
      <c r="A11" s="425" t="s">
        <v>361</v>
      </c>
      <c r="B11" s="426" t="s">
        <v>524</v>
      </c>
      <c r="C11" s="427">
        <v>0</v>
      </c>
      <c r="D11" s="427">
        <v>0</v>
      </c>
      <c r="E11" s="427">
        <v>1114323</v>
      </c>
      <c r="F11" s="427">
        <v>0</v>
      </c>
      <c r="G11" s="427">
        <v>0</v>
      </c>
      <c r="H11" s="427">
        <v>0</v>
      </c>
      <c r="I11" s="427">
        <v>1114323</v>
      </c>
    </row>
    <row r="12" spans="1:9" ht="12.75">
      <c r="A12" s="425" t="s">
        <v>377</v>
      </c>
      <c r="B12" s="426" t="s">
        <v>525</v>
      </c>
      <c r="C12" s="427">
        <v>0</v>
      </c>
      <c r="D12" s="427">
        <v>0</v>
      </c>
      <c r="E12" s="427">
        <v>849755</v>
      </c>
      <c r="F12" s="427">
        <v>0</v>
      </c>
      <c r="G12" s="427">
        <v>0</v>
      </c>
      <c r="H12" s="427">
        <v>0</v>
      </c>
      <c r="I12" s="427">
        <v>849755</v>
      </c>
    </row>
    <row r="13" spans="1:9" ht="12.75">
      <c r="A13" s="422" t="s">
        <v>363</v>
      </c>
      <c r="B13" s="423" t="s">
        <v>526</v>
      </c>
      <c r="C13" s="424">
        <v>0</v>
      </c>
      <c r="D13" s="424">
        <v>0</v>
      </c>
      <c r="E13" s="424">
        <v>264568</v>
      </c>
      <c r="F13" s="424">
        <v>0</v>
      </c>
      <c r="G13" s="424">
        <v>0</v>
      </c>
      <c r="H13" s="424">
        <v>0</v>
      </c>
      <c r="I13" s="424">
        <v>264568</v>
      </c>
    </row>
    <row r="14" spans="1:9" ht="25.5">
      <c r="A14" s="425" t="s">
        <v>493</v>
      </c>
      <c r="B14" s="426" t="s">
        <v>527</v>
      </c>
      <c r="C14" s="427">
        <v>0</v>
      </c>
      <c r="D14" s="427">
        <v>0</v>
      </c>
      <c r="E14" s="427">
        <v>1114323</v>
      </c>
      <c r="F14" s="427">
        <v>0</v>
      </c>
      <c r="G14" s="427">
        <v>0</v>
      </c>
      <c r="H14" s="427">
        <v>0</v>
      </c>
      <c r="I14" s="427">
        <v>1114323</v>
      </c>
    </row>
    <row r="15" spans="1:9" ht="12.75">
      <c r="A15" s="425" t="s">
        <v>383</v>
      </c>
      <c r="B15" s="426" t="s">
        <v>528</v>
      </c>
      <c r="C15" s="427">
        <v>0</v>
      </c>
      <c r="D15" s="427">
        <v>0</v>
      </c>
      <c r="E15" s="427">
        <v>1114323</v>
      </c>
      <c r="F15" s="427">
        <v>0</v>
      </c>
      <c r="G15" s="427">
        <v>0</v>
      </c>
      <c r="H15" s="427">
        <v>0</v>
      </c>
      <c r="I15" s="427">
        <v>1114323</v>
      </c>
    </row>
    <row r="16" spans="1:9" ht="12.75">
      <c r="A16" s="422" t="s">
        <v>531</v>
      </c>
      <c r="B16" s="423" t="s">
        <v>532</v>
      </c>
      <c r="C16" s="424">
        <v>0</v>
      </c>
      <c r="D16" s="424">
        <v>0</v>
      </c>
      <c r="E16" s="424">
        <v>139999</v>
      </c>
      <c r="F16" s="424">
        <v>0</v>
      </c>
      <c r="G16" s="424">
        <v>0</v>
      </c>
      <c r="H16" s="424">
        <v>0</v>
      </c>
      <c r="I16" s="424">
        <v>139999</v>
      </c>
    </row>
  </sheetData>
  <sheetProtection selectLockedCells="1" selectUnlockedCells="1"/>
  <mergeCells count="2">
    <mergeCell ref="A1:I1"/>
    <mergeCell ref="A2:I2"/>
  </mergeCells>
  <printOptions/>
  <pageMargins left="0.75" right="0.75" top="1" bottom="1" header="0.5" footer="0.5"/>
  <pageSetup horizontalDpi="300" verticalDpi="300" orientation="landscape" scale="81" r:id="rId1"/>
  <headerFooter alignWithMargins="0">
    <oddHeader>&amp;RÉrték típus: Forint</oddHeader>
    <oddFooter>&amp;LAdatellenőrző kód: -5e-714a-26-38-5a-c1c-2049-35-1620-6f40-637a45-2534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SheetLayoutView="110" zoomScalePageLayoutView="0" workbookViewId="0" topLeftCell="A1">
      <selection activeCell="A1" sqref="A1:L1"/>
    </sheetView>
  </sheetViews>
  <sheetFormatPr defaultColWidth="8.8515625" defaultRowHeight="12.75"/>
  <cols>
    <col min="1" max="1" width="8.28125" style="355" customWidth="1"/>
    <col min="2" max="2" width="41.00390625" style="355" customWidth="1"/>
    <col min="3" max="3" width="11.7109375" style="355" customWidth="1"/>
    <col min="4" max="5" width="13.28125" style="355" customWidth="1"/>
    <col min="6" max="6" width="14.28125" style="355" customWidth="1"/>
    <col min="7" max="7" width="13.28125" style="355" customWidth="1"/>
    <col min="8" max="8" width="10.28125" style="355" customWidth="1"/>
    <col min="9" max="9" width="10.7109375" style="355" customWidth="1"/>
    <col min="10" max="10" width="11.421875" style="355" customWidth="1"/>
    <col min="11" max="11" width="12.28125" style="355" customWidth="1"/>
    <col min="12" max="12" width="13.28125" style="355" customWidth="1"/>
    <col min="13" max="16384" width="8.8515625" style="355" customWidth="1"/>
  </cols>
  <sheetData>
    <row r="1" spans="1:12" ht="12.75">
      <c r="A1" s="505" t="s">
        <v>595</v>
      </c>
      <c r="B1" s="505"/>
      <c r="C1" s="505"/>
      <c r="D1" s="505"/>
      <c r="E1" s="505"/>
      <c r="F1" s="505"/>
      <c r="G1" s="505"/>
      <c r="H1" s="505"/>
      <c r="I1" s="505"/>
      <c r="J1" s="505"/>
      <c r="K1" s="505"/>
      <c r="L1" s="505"/>
    </row>
    <row r="2" spans="1:12" ht="30" customHeight="1">
      <c r="A2" s="502" t="s">
        <v>533</v>
      </c>
      <c r="B2" s="502"/>
      <c r="C2" s="502"/>
      <c r="D2" s="502"/>
      <c r="E2" s="502"/>
      <c r="F2" s="502"/>
      <c r="G2" s="502"/>
      <c r="H2" s="502"/>
      <c r="I2" s="502"/>
      <c r="J2" s="502"/>
      <c r="K2" s="502"/>
      <c r="L2" s="502"/>
    </row>
    <row r="3" spans="1:12" ht="91.5" customHeight="1">
      <c r="A3" s="444" t="s">
        <v>345</v>
      </c>
      <c r="B3" s="444" t="s">
        <v>272</v>
      </c>
      <c r="C3" s="444" t="s">
        <v>534</v>
      </c>
      <c r="D3" s="444" t="s">
        <v>145</v>
      </c>
      <c r="E3" s="444" t="s">
        <v>564</v>
      </c>
      <c r="F3" s="444" t="s">
        <v>536</v>
      </c>
      <c r="G3" s="444" t="s">
        <v>537</v>
      </c>
      <c r="H3" s="444" t="s">
        <v>538</v>
      </c>
      <c r="I3" s="444" t="s">
        <v>539</v>
      </c>
      <c r="J3" s="444" t="s">
        <v>540</v>
      </c>
      <c r="K3" s="444" t="s">
        <v>565</v>
      </c>
      <c r="L3" s="444" t="s">
        <v>542</v>
      </c>
    </row>
    <row r="4" spans="1:12" ht="15.75">
      <c r="A4" s="371">
        <v>1</v>
      </c>
      <c r="B4" s="371">
        <v>2</v>
      </c>
      <c r="C4" s="371">
        <v>3</v>
      </c>
      <c r="D4" s="371">
        <v>4</v>
      </c>
      <c r="E4" s="371">
        <v>5</v>
      </c>
      <c r="F4" s="371">
        <v>6</v>
      </c>
      <c r="G4" s="371">
        <v>7</v>
      </c>
      <c r="H4" s="371">
        <v>8</v>
      </c>
      <c r="I4" s="371">
        <v>9</v>
      </c>
      <c r="J4" s="371">
        <v>10</v>
      </c>
      <c r="K4" s="371">
        <v>11</v>
      </c>
      <c r="L4" s="371">
        <v>12</v>
      </c>
    </row>
    <row r="5" spans="1:12" ht="25.5">
      <c r="A5" s="422" t="s">
        <v>499</v>
      </c>
      <c r="B5" s="423" t="s">
        <v>566</v>
      </c>
      <c r="C5" s="424">
        <v>1</v>
      </c>
      <c r="D5" s="424">
        <v>4065152</v>
      </c>
      <c r="E5" s="424">
        <v>52628</v>
      </c>
      <c r="F5" s="424">
        <v>0</v>
      </c>
      <c r="G5" s="424">
        <v>0</v>
      </c>
      <c r="H5" s="424">
        <v>0</v>
      </c>
      <c r="I5" s="424">
        <v>156195</v>
      </c>
      <c r="J5" s="424">
        <v>0</v>
      </c>
      <c r="K5" s="424">
        <v>0</v>
      </c>
      <c r="L5" s="424">
        <v>0</v>
      </c>
    </row>
    <row r="6" spans="1:12" ht="12.75">
      <c r="A6" s="422" t="s">
        <v>531</v>
      </c>
      <c r="B6" s="423" t="s">
        <v>543</v>
      </c>
      <c r="C6" s="424">
        <v>1</v>
      </c>
      <c r="D6" s="424">
        <v>2908239</v>
      </c>
      <c r="E6" s="424">
        <v>45113</v>
      </c>
      <c r="F6" s="424">
        <v>169121</v>
      </c>
      <c r="G6" s="424">
        <v>0</v>
      </c>
      <c r="H6" s="424">
        <v>0</v>
      </c>
      <c r="I6" s="424">
        <v>67470</v>
      </c>
      <c r="J6" s="424">
        <v>0</v>
      </c>
      <c r="K6" s="424">
        <v>184394</v>
      </c>
      <c r="L6" s="424">
        <v>0</v>
      </c>
    </row>
    <row r="7" spans="1:12" ht="12.75">
      <c r="A7" s="422" t="s">
        <v>385</v>
      </c>
      <c r="B7" s="423" t="s">
        <v>567</v>
      </c>
      <c r="C7" s="424">
        <v>4</v>
      </c>
      <c r="D7" s="424">
        <v>11530748</v>
      </c>
      <c r="E7" s="424">
        <v>172148</v>
      </c>
      <c r="F7" s="424">
        <v>476320</v>
      </c>
      <c r="G7" s="424">
        <v>0</v>
      </c>
      <c r="H7" s="424">
        <v>0</v>
      </c>
      <c r="I7" s="424">
        <v>93939</v>
      </c>
      <c r="J7" s="424">
        <v>0</v>
      </c>
      <c r="K7" s="424">
        <v>739695</v>
      </c>
      <c r="L7" s="424">
        <v>0</v>
      </c>
    </row>
    <row r="8" spans="1:12" ht="12.75">
      <c r="A8" s="422" t="s">
        <v>387</v>
      </c>
      <c r="B8" s="423" t="s">
        <v>568</v>
      </c>
      <c r="C8" s="424">
        <v>1</v>
      </c>
      <c r="D8" s="424">
        <v>2677912</v>
      </c>
      <c r="E8" s="424">
        <v>45113</v>
      </c>
      <c r="F8" s="424">
        <v>0</v>
      </c>
      <c r="G8" s="424">
        <v>0</v>
      </c>
      <c r="H8" s="424">
        <v>0</v>
      </c>
      <c r="I8" s="424">
        <v>0</v>
      </c>
      <c r="J8" s="424">
        <v>0</v>
      </c>
      <c r="K8" s="424">
        <v>249185</v>
      </c>
      <c r="L8" s="424">
        <v>0</v>
      </c>
    </row>
    <row r="9" spans="1:12" ht="25.5">
      <c r="A9" s="425" t="s">
        <v>544</v>
      </c>
      <c r="B9" s="426" t="s">
        <v>545</v>
      </c>
      <c r="C9" s="427">
        <v>7</v>
      </c>
      <c r="D9" s="427">
        <v>21182051</v>
      </c>
      <c r="E9" s="427">
        <v>315002</v>
      </c>
      <c r="F9" s="427">
        <v>645441</v>
      </c>
      <c r="G9" s="427">
        <v>0</v>
      </c>
      <c r="H9" s="427">
        <v>0</v>
      </c>
      <c r="I9" s="427">
        <v>317604</v>
      </c>
      <c r="J9" s="427">
        <v>0</v>
      </c>
      <c r="K9" s="427">
        <v>1173274</v>
      </c>
      <c r="L9" s="427">
        <v>0</v>
      </c>
    </row>
    <row r="10" spans="1:12" ht="38.25">
      <c r="A10" s="422" t="s">
        <v>399</v>
      </c>
      <c r="B10" s="423" t="s">
        <v>546</v>
      </c>
      <c r="C10" s="424">
        <v>1</v>
      </c>
      <c r="D10" s="424">
        <v>1810500</v>
      </c>
      <c r="E10" s="424">
        <v>22556</v>
      </c>
      <c r="F10" s="424">
        <v>0</v>
      </c>
      <c r="G10" s="424">
        <v>0</v>
      </c>
      <c r="H10" s="424">
        <v>0</v>
      </c>
      <c r="I10" s="424">
        <v>0</v>
      </c>
      <c r="J10" s="424">
        <v>0</v>
      </c>
      <c r="K10" s="424">
        <v>107200</v>
      </c>
      <c r="L10" s="424">
        <v>0</v>
      </c>
    </row>
    <row r="11" spans="1:12" ht="12.75">
      <c r="A11" s="422" t="s">
        <v>547</v>
      </c>
      <c r="B11" s="423" t="s">
        <v>548</v>
      </c>
      <c r="C11" s="424">
        <v>1</v>
      </c>
      <c r="D11" s="424">
        <v>920684</v>
      </c>
      <c r="E11" s="424">
        <v>22556</v>
      </c>
      <c r="F11" s="424">
        <v>0</v>
      </c>
      <c r="G11" s="424">
        <v>0</v>
      </c>
      <c r="H11" s="424">
        <v>0</v>
      </c>
      <c r="I11" s="424">
        <v>0</v>
      </c>
      <c r="J11" s="424">
        <v>0</v>
      </c>
      <c r="K11" s="424">
        <v>19851</v>
      </c>
      <c r="L11" s="424">
        <v>0</v>
      </c>
    </row>
    <row r="12" spans="1:12" ht="25.5">
      <c r="A12" s="425" t="s">
        <v>401</v>
      </c>
      <c r="B12" s="426" t="s">
        <v>549</v>
      </c>
      <c r="C12" s="427">
        <v>2</v>
      </c>
      <c r="D12" s="427">
        <v>2731184</v>
      </c>
      <c r="E12" s="427">
        <v>45112</v>
      </c>
      <c r="F12" s="427">
        <v>0</v>
      </c>
      <c r="G12" s="427">
        <v>0</v>
      </c>
      <c r="H12" s="427">
        <v>0</v>
      </c>
      <c r="I12" s="427">
        <v>0</v>
      </c>
      <c r="J12" s="427">
        <v>0</v>
      </c>
      <c r="K12" s="427">
        <v>127051</v>
      </c>
      <c r="L12" s="427">
        <v>0</v>
      </c>
    </row>
    <row r="13" spans="1:12" ht="25.5">
      <c r="A13" s="425" t="s">
        <v>557</v>
      </c>
      <c r="B13" s="426" t="s">
        <v>558</v>
      </c>
      <c r="C13" s="427">
        <v>9</v>
      </c>
      <c r="D13" s="427">
        <v>23913235</v>
      </c>
      <c r="E13" s="427">
        <v>360114</v>
      </c>
      <c r="F13" s="427">
        <v>645441</v>
      </c>
      <c r="G13" s="427">
        <v>0</v>
      </c>
      <c r="H13" s="427">
        <v>0</v>
      </c>
      <c r="I13" s="427">
        <v>317604</v>
      </c>
      <c r="J13" s="427">
        <v>0</v>
      </c>
      <c r="K13" s="427">
        <v>1300325</v>
      </c>
      <c r="L13" s="427">
        <v>0</v>
      </c>
    </row>
    <row r="14" spans="1:12" ht="38.25">
      <c r="A14" s="422" t="s">
        <v>569</v>
      </c>
      <c r="B14" s="423" t="s">
        <v>570</v>
      </c>
      <c r="C14" s="424">
        <v>9</v>
      </c>
      <c r="D14" s="424">
        <v>0</v>
      </c>
      <c r="E14" s="424">
        <v>0</v>
      </c>
      <c r="F14" s="424">
        <v>0</v>
      </c>
      <c r="G14" s="424">
        <v>0</v>
      </c>
      <c r="H14" s="424">
        <v>0</v>
      </c>
      <c r="I14" s="424">
        <v>0</v>
      </c>
      <c r="J14" s="424">
        <v>0</v>
      </c>
      <c r="K14" s="424">
        <v>0</v>
      </c>
      <c r="L14" s="424">
        <v>0</v>
      </c>
    </row>
    <row r="15" spans="1:12" ht="25.5">
      <c r="A15" s="422" t="s">
        <v>571</v>
      </c>
      <c r="B15" s="423" t="s">
        <v>572</v>
      </c>
      <c r="C15" s="424">
        <v>11</v>
      </c>
      <c r="D15" s="424">
        <v>0</v>
      </c>
      <c r="E15" s="424">
        <v>0</v>
      </c>
      <c r="F15" s="424">
        <v>0</v>
      </c>
      <c r="G15" s="424">
        <v>0</v>
      </c>
      <c r="H15" s="424">
        <v>0</v>
      </c>
      <c r="I15" s="424">
        <v>0</v>
      </c>
      <c r="J15" s="424">
        <v>0</v>
      </c>
      <c r="K15" s="424">
        <v>0</v>
      </c>
      <c r="L15" s="424">
        <v>0</v>
      </c>
    </row>
    <row r="16" spans="1:12" ht="25.5">
      <c r="A16" s="422" t="s">
        <v>559</v>
      </c>
      <c r="B16" s="423" t="s">
        <v>560</v>
      </c>
      <c r="C16" s="424">
        <v>9</v>
      </c>
      <c r="D16" s="424">
        <v>0</v>
      </c>
      <c r="E16" s="424">
        <v>0</v>
      </c>
      <c r="F16" s="424">
        <v>0</v>
      </c>
      <c r="G16" s="424">
        <v>0</v>
      </c>
      <c r="H16" s="424">
        <v>0</v>
      </c>
      <c r="I16" s="424">
        <v>0</v>
      </c>
      <c r="J16" s="424">
        <v>0</v>
      </c>
      <c r="K16" s="424">
        <v>0</v>
      </c>
      <c r="L16" s="424">
        <v>0</v>
      </c>
    </row>
  </sheetData>
  <sheetProtection selectLockedCells="1" selectUnlockedCells="1"/>
  <mergeCells count="2">
    <mergeCell ref="A1:L1"/>
    <mergeCell ref="A2:L2"/>
  </mergeCells>
  <printOptions/>
  <pageMargins left="0.75" right="0.75" top="1" bottom="1" header="0.5" footer="0.5"/>
  <pageSetup horizontalDpi="300" verticalDpi="300" orientation="landscape" scale="71"/>
  <headerFooter alignWithMargins="0">
    <oddHeader>&amp;RÉrték típus: Fő</oddHeader>
    <oddFooter>&amp;LAdatellenőrző kód: -5e-714a-26-38-5a-c1c-2049-35-1620-6f40-637a45-2534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64"/>
  <sheetViews>
    <sheetView zoomScaleSheetLayoutView="110" zoomScalePageLayoutView="0" workbookViewId="0" topLeftCell="A28">
      <selection activeCell="A1" sqref="A1:I1"/>
    </sheetView>
  </sheetViews>
  <sheetFormatPr defaultColWidth="9.140625" defaultRowHeight="12.75"/>
  <cols>
    <col min="1" max="1" width="3.8515625" style="96" customWidth="1"/>
    <col min="2" max="2" width="4.57421875" style="96" customWidth="1"/>
    <col min="3" max="3" width="5.8515625" style="96" customWidth="1"/>
    <col min="4" max="4" width="4.7109375" style="96" customWidth="1"/>
    <col min="5" max="5" width="65.7109375" style="96" customWidth="1"/>
    <col min="6" max="7" width="14.57421875" style="96" customWidth="1"/>
    <col min="8" max="8" width="14.00390625" style="96" customWidth="1"/>
    <col min="9" max="9" width="14.140625" style="96" customWidth="1"/>
    <col min="10" max="16384" width="9.140625" style="96" customWidth="1"/>
  </cols>
  <sheetData>
    <row r="1" spans="1:9" ht="15.75">
      <c r="A1" s="463" t="s">
        <v>575</v>
      </c>
      <c r="B1" s="463"/>
      <c r="C1" s="463"/>
      <c r="D1" s="463"/>
      <c r="E1" s="463"/>
      <c r="F1" s="463"/>
      <c r="G1" s="463"/>
      <c r="H1" s="463"/>
      <c r="I1" s="463"/>
    </row>
    <row r="2" spans="1:6" s="37" customFormat="1" ht="16.5" customHeight="1">
      <c r="A2" s="463"/>
      <c r="B2" s="463"/>
      <c r="C2" s="463"/>
      <c r="D2" s="463"/>
      <c r="E2" s="463"/>
      <c r="F2" s="463"/>
    </row>
    <row r="3" spans="1:9" s="16" customFormat="1" ht="23.25" customHeight="1">
      <c r="A3" s="464" t="s">
        <v>0</v>
      </c>
      <c r="B3" s="464"/>
      <c r="C3" s="464"/>
      <c r="D3" s="464"/>
      <c r="E3" s="464"/>
      <c r="F3" s="464"/>
      <c r="G3" s="464"/>
      <c r="H3" s="464"/>
      <c r="I3" s="464"/>
    </row>
    <row r="4" spans="1:9" s="16" customFormat="1" ht="20.25" customHeight="1">
      <c r="A4" s="464" t="s">
        <v>44</v>
      </c>
      <c r="B4" s="464"/>
      <c r="C4" s="464"/>
      <c r="D4" s="464"/>
      <c r="E4" s="464"/>
      <c r="F4" s="464"/>
      <c r="G4" s="464"/>
      <c r="H4" s="464"/>
      <c r="I4" s="464"/>
    </row>
    <row r="5" spans="1:9" s="16" customFormat="1" ht="15.75">
      <c r="A5" s="465" t="s">
        <v>45</v>
      </c>
      <c r="B5" s="465"/>
      <c r="C5" s="465"/>
      <c r="D5" s="465"/>
      <c r="E5" s="465"/>
      <c r="F5" s="465"/>
      <c r="G5" s="465"/>
      <c r="H5" s="465"/>
      <c r="I5" s="465"/>
    </row>
    <row r="6" spans="1:8" s="42" customFormat="1" ht="11.25" customHeight="1">
      <c r="A6" s="43"/>
      <c r="B6" s="43"/>
      <c r="C6" s="43"/>
      <c r="D6" s="43"/>
      <c r="E6" s="43"/>
      <c r="F6" s="43"/>
      <c r="G6" s="41"/>
      <c r="H6" s="45"/>
    </row>
    <row r="7" spans="1:9" s="16" customFormat="1" ht="54" customHeight="1">
      <c r="A7" s="466" t="s">
        <v>122</v>
      </c>
      <c r="B7" s="466"/>
      <c r="C7" s="466"/>
      <c r="D7" s="466"/>
      <c r="E7" s="466"/>
      <c r="F7" s="97" t="s">
        <v>47</v>
      </c>
      <c r="G7" s="97" t="s">
        <v>47</v>
      </c>
      <c r="H7" s="47" t="s">
        <v>4</v>
      </c>
      <c r="I7" s="48" t="s">
        <v>123</v>
      </c>
    </row>
    <row r="8" spans="1:9" s="29" customFormat="1" ht="27" customHeight="1">
      <c r="A8" s="466"/>
      <c r="B8" s="466"/>
      <c r="C8" s="466"/>
      <c r="D8" s="466"/>
      <c r="E8" s="466"/>
      <c r="F8" s="97" t="s">
        <v>6</v>
      </c>
      <c r="G8" s="97" t="s">
        <v>7</v>
      </c>
      <c r="H8" s="48" t="s">
        <v>8</v>
      </c>
      <c r="I8" s="48" t="s">
        <v>9</v>
      </c>
    </row>
    <row r="9" spans="1:12" s="16" customFormat="1" ht="18" customHeight="1">
      <c r="A9" s="52" t="s">
        <v>11</v>
      </c>
      <c r="B9" s="53" t="s">
        <v>12</v>
      </c>
      <c r="C9" s="53"/>
      <c r="D9" s="53"/>
      <c r="E9" s="53"/>
      <c r="F9" s="98">
        <f>SUM(F10+F27)</f>
        <v>43498112</v>
      </c>
      <c r="G9" s="98">
        <f>SUM(G10+G27)</f>
        <v>51862852</v>
      </c>
      <c r="H9" s="98">
        <f>H10+H27</f>
        <v>50762852</v>
      </c>
      <c r="I9" s="99">
        <f>H9/G9</f>
        <v>0.9787902138509468</v>
      </c>
      <c r="J9" s="72"/>
      <c r="K9" s="26"/>
      <c r="L9" s="26"/>
    </row>
    <row r="10" spans="2:12" s="16" customFormat="1" ht="15.75">
      <c r="B10" s="16" t="s">
        <v>88</v>
      </c>
      <c r="D10" s="16" t="s">
        <v>89</v>
      </c>
      <c r="F10" s="88">
        <f>SUM(F11+F18+F25+F26)</f>
        <v>39739568</v>
      </c>
      <c r="G10" s="88">
        <f>SUM(G11+G18+G25+G26)</f>
        <v>46225929</v>
      </c>
      <c r="H10" s="88">
        <f>H11+H18+H25+H26</f>
        <v>46225929</v>
      </c>
      <c r="I10" s="100">
        <f>H10/G10</f>
        <v>1</v>
      </c>
      <c r="J10" s="40"/>
      <c r="K10" s="26"/>
      <c r="L10" s="26"/>
    </row>
    <row r="11" spans="3:10" s="52" customFormat="1" ht="15.75">
      <c r="C11" s="16" t="s">
        <v>90</v>
      </c>
      <c r="D11" s="16" t="s">
        <v>91</v>
      </c>
      <c r="E11" s="16"/>
      <c r="F11" s="101">
        <f>SUM(F12:F17)</f>
        <v>12067568</v>
      </c>
      <c r="G11" s="101">
        <v>12142842</v>
      </c>
      <c r="H11" s="101">
        <f>'2.bevétel'!H46</f>
        <v>12142842</v>
      </c>
      <c r="I11" s="100">
        <f>H11/G11</f>
        <v>1</v>
      </c>
      <c r="J11" s="66"/>
    </row>
    <row r="12" spans="3:10" s="52" customFormat="1" ht="15.75">
      <c r="C12" s="16"/>
      <c r="D12" s="16"/>
      <c r="E12" s="16" t="s">
        <v>92</v>
      </c>
      <c r="F12" s="102">
        <v>4032190</v>
      </c>
      <c r="G12" s="102"/>
      <c r="H12" s="102"/>
      <c r="I12" s="100"/>
      <c r="J12" s="66"/>
    </row>
    <row r="13" spans="3:10" s="52" customFormat="1" ht="15.75">
      <c r="C13" s="16"/>
      <c r="D13" s="16"/>
      <c r="E13" s="16" t="s">
        <v>93</v>
      </c>
      <c r="F13" s="102">
        <v>5000000</v>
      </c>
      <c r="G13" s="102"/>
      <c r="H13" s="102"/>
      <c r="I13" s="100"/>
      <c r="J13" s="66"/>
    </row>
    <row r="14" spans="3:10" s="52" customFormat="1" ht="15.75">
      <c r="C14" s="16"/>
      <c r="D14" s="16"/>
      <c r="E14" s="16" t="s">
        <v>94</v>
      </c>
      <c r="F14" s="102">
        <v>91800</v>
      </c>
      <c r="G14" s="102"/>
      <c r="H14" s="102"/>
      <c r="I14" s="100"/>
      <c r="J14" s="66"/>
    </row>
    <row r="15" spans="3:10" s="52" customFormat="1" ht="15.75">
      <c r="C15" s="16"/>
      <c r="D15" s="16"/>
      <c r="E15" s="16" t="s">
        <v>95</v>
      </c>
      <c r="F15" s="102">
        <v>91400</v>
      </c>
      <c r="G15" s="102"/>
      <c r="H15" s="102"/>
      <c r="I15" s="100"/>
      <c r="J15" s="66"/>
    </row>
    <row r="16" spans="3:10" s="52" customFormat="1" ht="15.75">
      <c r="C16" s="16"/>
      <c r="D16" s="16"/>
      <c r="E16" s="16" t="s">
        <v>96</v>
      </c>
      <c r="F16" s="102">
        <v>1009100</v>
      </c>
      <c r="G16" s="102"/>
      <c r="H16" s="102"/>
      <c r="I16" s="100"/>
      <c r="J16" s="66"/>
    </row>
    <row r="17" spans="3:10" s="52" customFormat="1" ht="15.75">
      <c r="C17" s="16"/>
      <c r="D17" s="16"/>
      <c r="E17" s="16" t="s">
        <v>97</v>
      </c>
      <c r="F17" s="102">
        <v>1843078</v>
      </c>
      <c r="G17" s="102"/>
      <c r="H17" s="102"/>
      <c r="I17" s="100"/>
      <c r="J17" s="66"/>
    </row>
    <row r="18" spans="3:10" s="16" customFormat="1" ht="30.75" customHeight="1">
      <c r="C18" s="16" t="s">
        <v>98</v>
      </c>
      <c r="D18" s="468" t="s">
        <v>99</v>
      </c>
      <c r="E18" s="468"/>
      <c r="F18" s="101">
        <f>SUM(F19+F20+F24)</f>
        <v>25872000</v>
      </c>
      <c r="G18" s="101">
        <v>30122771</v>
      </c>
      <c r="H18" s="101">
        <f>'2.bevétel'!H53</f>
        <v>30122771</v>
      </c>
      <c r="I18" s="100">
        <f>H18/G18</f>
        <v>1</v>
      </c>
      <c r="J18" s="35"/>
    </row>
    <row r="19" spans="4:10" s="16" customFormat="1" ht="15" customHeight="1">
      <c r="D19" s="75"/>
      <c r="E19" s="75" t="s">
        <v>100</v>
      </c>
      <c r="F19" s="103">
        <v>3100000</v>
      </c>
      <c r="G19" s="103"/>
      <c r="H19" s="103"/>
      <c r="I19" s="100"/>
      <c r="J19" s="35"/>
    </row>
    <row r="20" spans="4:10" s="16" customFormat="1" ht="15" customHeight="1">
      <c r="D20" s="75"/>
      <c r="E20" s="75" t="s">
        <v>101</v>
      </c>
      <c r="F20" s="103">
        <f>SUM(F21:F22)</f>
        <v>20632000</v>
      </c>
      <c r="G20" s="103"/>
      <c r="H20" s="103"/>
      <c r="I20" s="100"/>
      <c r="J20" s="35"/>
    </row>
    <row r="21" spans="4:10" s="16" customFormat="1" ht="15" customHeight="1">
      <c r="D21" s="75"/>
      <c r="E21" s="75" t="s">
        <v>102</v>
      </c>
      <c r="F21" s="104">
        <v>19936000</v>
      </c>
      <c r="G21" s="104"/>
      <c r="H21" s="104"/>
      <c r="I21" s="100"/>
      <c r="J21" s="35"/>
    </row>
    <row r="22" spans="4:10" s="16" customFormat="1" ht="15" customHeight="1">
      <c r="D22" s="75"/>
      <c r="E22" s="75" t="s">
        <v>103</v>
      </c>
      <c r="F22" s="104">
        <v>696000</v>
      </c>
      <c r="G22" s="104"/>
      <c r="H22" s="104"/>
      <c r="I22" s="100"/>
      <c r="J22" s="35"/>
    </row>
    <row r="23" spans="4:10" s="16" customFormat="1" ht="15" customHeight="1">
      <c r="D23" s="75"/>
      <c r="E23" s="75" t="s">
        <v>104</v>
      </c>
      <c r="F23" s="104"/>
      <c r="G23" s="104"/>
      <c r="H23" s="104"/>
      <c r="I23" s="100"/>
      <c r="J23" s="35"/>
    </row>
    <row r="24" spans="4:10" s="16" customFormat="1" ht="15" customHeight="1">
      <c r="D24" s="75"/>
      <c r="E24" s="75" t="s">
        <v>105</v>
      </c>
      <c r="F24" s="103">
        <v>2140000</v>
      </c>
      <c r="G24" s="103"/>
      <c r="H24" s="103"/>
      <c r="I24" s="100"/>
      <c r="J24" s="35"/>
    </row>
    <row r="25" spans="3:10" s="16" customFormat="1" ht="15.75">
      <c r="C25" s="16" t="s">
        <v>106</v>
      </c>
      <c r="D25" s="16" t="s">
        <v>107</v>
      </c>
      <c r="F25" s="101">
        <v>1800000</v>
      </c>
      <c r="G25" s="101">
        <v>1800000</v>
      </c>
      <c r="H25" s="101">
        <f>'2.bevétel'!H60</f>
        <v>1800000</v>
      </c>
      <c r="I25" s="100">
        <f aca="true" t="shared" si="0" ref="I25:I53">H25/G25</f>
        <v>1</v>
      </c>
      <c r="J25" s="35"/>
    </row>
    <row r="26" spans="3:10" s="16" customFormat="1" ht="15.75">
      <c r="C26" s="16" t="s">
        <v>108</v>
      </c>
      <c r="D26" s="16" t="s">
        <v>109</v>
      </c>
      <c r="F26" s="101"/>
      <c r="G26" s="101">
        <v>2160316</v>
      </c>
      <c r="H26" s="101">
        <f>'2.bevétel'!H61</f>
        <v>2160316</v>
      </c>
      <c r="I26" s="100">
        <f t="shared" si="0"/>
        <v>1</v>
      </c>
      <c r="J26" s="35"/>
    </row>
    <row r="27" spans="1:9" s="16" customFormat="1" ht="15.75">
      <c r="A27" s="78"/>
      <c r="B27" s="79" t="s">
        <v>117</v>
      </c>
      <c r="D27" s="16" t="s">
        <v>124</v>
      </c>
      <c r="E27" s="85"/>
      <c r="F27" s="101">
        <v>3758544</v>
      </c>
      <c r="G27" s="101">
        <v>5636923</v>
      </c>
      <c r="H27" s="101">
        <f>'2.bevétel'!H79+'2.bevétel'!H85</f>
        <v>4536923</v>
      </c>
      <c r="I27" s="100">
        <f t="shared" si="0"/>
        <v>0.8048580759396572</v>
      </c>
    </row>
    <row r="28" spans="1:10" s="52" customFormat="1" ht="15.75">
      <c r="A28" s="52" t="s">
        <v>20</v>
      </c>
      <c r="B28" s="52" t="s">
        <v>21</v>
      </c>
      <c r="F28" s="105">
        <f>SUM(F29)</f>
        <v>5805012</v>
      </c>
      <c r="G28" s="105">
        <f>SUM(G29)</f>
        <v>5805012</v>
      </c>
      <c r="H28" s="105">
        <f>'2.bevétel'!H62+'2.bevétel'!H70</f>
        <v>5805012</v>
      </c>
      <c r="I28" s="106">
        <f t="shared" si="0"/>
        <v>1</v>
      </c>
      <c r="J28" s="66"/>
    </row>
    <row r="29" spans="2:10" s="16" customFormat="1" ht="15.75">
      <c r="B29" s="16" t="s">
        <v>110</v>
      </c>
      <c r="D29" s="16" t="s">
        <v>111</v>
      </c>
      <c r="F29" s="101">
        <v>5805012</v>
      </c>
      <c r="G29" s="101">
        <v>5805012</v>
      </c>
      <c r="H29" s="101">
        <f>'2.bevétel'!H63+'2.bevétel'!H71</f>
        <v>5805012</v>
      </c>
      <c r="I29" s="100">
        <f t="shared" si="0"/>
        <v>1</v>
      </c>
      <c r="J29" s="35"/>
    </row>
    <row r="30" spans="1:10" s="52" customFormat="1" ht="15.75">
      <c r="A30" s="52" t="s">
        <v>13</v>
      </c>
      <c r="B30" s="53" t="s">
        <v>14</v>
      </c>
      <c r="C30" s="53"/>
      <c r="D30" s="53"/>
      <c r="E30" s="53"/>
      <c r="F30" s="105">
        <f>SUM(F31+F34+F41)</f>
        <v>8480000</v>
      </c>
      <c r="G30" s="105">
        <f>SUM(G31+G34+G41)</f>
        <v>12185239</v>
      </c>
      <c r="H30" s="105">
        <f>H31+H34+H41</f>
        <v>12185239</v>
      </c>
      <c r="I30" s="106">
        <f t="shared" si="0"/>
        <v>1</v>
      </c>
      <c r="J30" s="66"/>
    </row>
    <row r="31" spans="2:10" s="16" customFormat="1" ht="15.75">
      <c r="B31" s="16" t="s">
        <v>68</v>
      </c>
      <c r="D31" s="16" t="s">
        <v>69</v>
      </c>
      <c r="F31" s="107">
        <f>SUM(F32:F33)</f>
        <v>2600000</v>
      </c>
      <c r="G31" s="107">
        <f>SUM(G32:G33)</f>
        <v>5826592</v>
      </c>
      <c r="H31" s="107">
        <f>'2.bevétel'!H27</f>
        <v>5826592</v>
      </c>
      <c r="I31" s="100">
        <f t="shared" si="0"/>
        <v>1</v>
      </c>
      <c r="J31" s="35"/>
    </row>
    <row r="32" spans="5:10" s="16" customFormat="1" ht="15.75">
      <c r="E32" s="16" t="s">
        <v>70</v>
      </c>
      <c r="F32" s="102">
        <v>1600000</v>
      </c>
      <c r="G32" s="102">
        <v>2498376</v>
      </c>
      <c r="H32" s="102">
        <f>'2.bevétel'!H28</f>
        <v>2498376</v>
      </c>
      <c r="I32" s="100">
        <f t="shared" si="0"/>
        <v>1</v>
      </c>
      <c r="J32" s="35"/>
    </row>
    <row r="33" spans="1:10" s="16" customFormat="1" ht="15.75">
      <c r="A33" s="52"/>
      <c r="B33" s="52"/>
      <c r="C33" s="52"/>
      <c r="D33" s="52"/>
      <c r="E33" s="16" t="s">
        <v>71</v>
      </c>
      <c r="F33" s="102">
        <v>1000000</v>
      </c>
      <c r="G33" s="102">
        <v>3328216</v>
      </c>
      <c r="H33" s="102">
        <f>'2.bevétel'!H29</f>
        <v>3328216</v>
      </c>
      <c r="I33" s="100">
        <f t="shared" si="0"/>
        <v>1</v>
      </c>
      <c r="J33" s="35"/>
    </row>
    <row r="34" spans="1:10" s="16" customFormat="1" ht="15.75">
      <c r="A34" s="52"/>
      <c r="B34" s="16" t="s">
        <v>72</v>
      </c>
      <c r="D34" s="16" t="s">
        <v>73</v>
      </c>
      <c r="F34" s="88">
        <f>SUM(F35+F37+F39)</f>
        <v>5780000</v>
      </c>
      <c r="G34" s="88">
        <f>SUM(G35+G37+G39)</f>
        <v>6075390</v>
      </c>
      <c r="H34" s="88">
        <f>'2.bevétel'!H30</f>
        <v>6075390</v>
      </c>
      <c r="I34" s="100">
        <f t="shared" si="0"/>
        <v>1</v>
      </c>
      <c r="J34" s="35"/>
    </row>
    <row r="35" spans="1:10" s="16" customFormat="1" ht="15.75">
      <c r="A35" s="52"/>
      <c r="C35" s="16" t="s">
        <v>74</v>
      </c>
      <c r="D35" s="16" t="s">
        <v>75</v>
      </c>
      <c r="F35" s="101">
        <f>SUM(F36)</f>
        <v>5000000</v>
      </c>
      <c r="G35" s="101">
        <f>SUM(G36)</f>
        <v>5030500</v>
      </c>
      <c r="H35" s="101">
        <f>'2.bevétel'!H31</f>
        <v>5030500</v>
      </c>
      <c r="I35" s="100">
        <f t="shared" si="0"/>
        <v>1</v>
      </c>
      <c r="J35" s="35"/>
    </row>
    <row r="36" spans="1:10" s="16" customFormat="1" ht="15.75">
      <c r="A36" s="52"/>
      <c r="E36" s="16" t="s">
        <v>76</v>
      </c>
      <c r="F36" s="102">
        <v>5000000</v>
      </c>
      <c r="G36" s="102">
        <v>5030500</v>
      </c>
      <c r="H36" s="102">
        <f>'2.bevétel'!H32</f>
        <v>5030500</v>
      </c>
      <c r="I36" s="100">
        <f t="shared" si="0"/>
        <v>1</v>
      </c>
      <c r="J36" s="35"/>
    </row>
    <row r="37" spans="1:10" s="16" customFormat="1" ht="15.75">
      <c r="A37" s="52"/>
      <c r="C37" s="16" t="s">
        <v>77</v>
      </c>
      <c r="D37" s="16" t="s">
        <v>78</v>
      </c>
      <c r="F37" s="101">
        <f>SUM(F38)</f>
        <v>630000</v>
      </c>
      <c r="G37" s="101">
        <f>SUM(G38)</f>
        <v>792090</v>
      </c>
      <c r="H37" s="101">
        <f>'2.bevétel'!H33</f>
        <v>792090</v>
      </c>
      <c r="I37" s="100">
        <f t="shared" si="0"/>
        <v>1</v>
      </c>
      <c r="J37" s="35"/>
    </row>
    <row r="38" spans="1:10" s="16" customFormat="1" ht="15.75">
      <c r="A38" s="52"/>
      <c r="E38" s="16" t="s">
        <v>79</v>
      </c>
      <c r="F38" s="102">
        <v>630000</v>
      </c>
      <c r="G38" s="102">
        <v>792090</v>
      </c>
      <c r="H38" s="102">
        <f>'2.bevétel'!H34</f>
        <v>792090</v>
      </c>
      <c r="I38" s="100">
        <f t="shared" si="0"/>
        <v>1</v>
      </c>
      <c r="J38" s="35"/>
    </row>
    <row r="39" spans="1:10" s="16" customFormat="1" ht="15.75">
      <c r="A39" s="52"/>
      <c r="C39" s="16" t="s">
        <v>80</v>
      </c>
      <c r="D39" s="16" t="s">
        <v>81</v>
      </c>
      <c r="F39" s="101">
        <f>SUM(F40:F40)</f>
        <v>150000</v>
      </c>
      <c r="G39" s="101">
        <f>SUM(G40:G40)</f>
        <v>252800</v>
      </c>
      <c r="H39" s="101">
        <f>'2.bevétel'!H35</f>
        <v>252800</v>
      </c>
      <c r="I39" s="100">
        <f t="shared" si="0"/>
        <v>1</v>
      </c>
      <c r="J39" s="35"/>
    </row>
    <row r="40" spans="1:10" s="16" customFormat="1" ht="15.75">
      <c r="A40" s="52"/>
      <c r="E40" s="16" t="s">
        <v>82</v>
      </c>
      <c r="F40" s="102">
        <v>150000</v>
      </c>
      <c r="G40" s="102">
        <v>252800</v>
      </c>
      <c r="H40" s="102">
        <f>'2.bevétel'!H36</f>
        <v>252800</v>
      </c>
      <c r="I40" s="100">
        <f t="shared" si="0"/>
        <v>1</v>
      </c>
      <c r="J40" s="35"/>
    </row>
    <row r="41" spans="2:10" s="16" customFormat="1" ht="15.75">
      <c r="B41" s="16" t="s">
        <v>83</v>
      </c>
      <c r="D41" s="16" t="s">
        <v>84</v>
      </c>
      <c r="F41" s="88">
        <f>SUM(F42:F42)</f>
        <v>100000</v>
      </c>
      <c r="G41" s="88">
        <f>SUM(G42:G42)</f>
        <v>283257</v>
      </c>
      <c r="H41" s="88">
        <f>'2.bevétel'!H37</f>
        <v>283257</v>
      </c>
      <c r="I41" s="100">
        <f t="shared" si="0"/>
        <v>1</v>
      </c>
      <c r="J41" s="35"/>
    </row>
    <row r="42" spans="5:10" s="16" customFormat="1" ht="15.75">
      <c r="E42" s="16" t="s">
        <v>85</v>
      </c>
      <c r="F42" s="102">
        <v>100000</v>
      </c>
      <c r="G42" s="102">
        <v>283257</v>
      </c>
      <c r="H42" s="102">
        <f>H41</f>
        <v>283257</v>
      </c>
      <c r="I42" s="100">
        <f t="shared" si="0"/>
        <v>1</v>
      </c>
      <c r="J42" s="35"/>
    </row>
    <row r="43" spans="1:10" s="52" customFormat="1" ht="15.75">
      <c r="A43" s="52" t="s">
        <v>15</v>
      </c>
      <c r="B43" s="53" t="s">
        <v>16</v>
      </c>
      <c r="C43" s="53"/>
      <c r="D43" s="53"/>
      <c r="E43" s="53"/>
      <c r="F43" s="105">
        <f>SUM(F44:F45)</f>
        <v>389000</v>
      </c>
      <c r="G43" s="105">
        <f>SUM(G44:G46)</f>
        <v>771335</v>
      </c>
      <c r="H43" s="105">
        <f>SUM(H44:H46)</f>
        <v>770361</v>
      </c>
      <c r="I43" s="106">
        <f t="shared" si="0"/>
        <v>0.9987372542410237</v>
      </c>
      <c r="J43" s="66"/>
    </row>
    <row r="44" spans="3:10" s="16" customFormat="1" ht="15.75">
      <c r="C44" s="16" t="s">
        <v>50</v>
      </c>
      <c r="D44" s="16" t="s">
        <v>51</v>
      </c>
      <c r="F44" s="101">
        <f>'2.bevétel'!F11+'2.bevétel'!F15+'2.bevétel'!F42+'2.bevétel'!F82</f>
        <v>388000</v>
      </c>
      <c r="G44" s="101">
        <v>634656</v>
      </c>
      <c r="H44" s="101">
        <f>'2.bevétel'!H11+'2.bevétel'!H15+'2.bevétel'!H42+'2.bevétel'!H73+'2.bevétel'!H82</f>
        <v>742656</v>
      </c>
      <c r="I44" s="100">
        <f t="shared" si="0"/>
        <v>1.1701709272424747</v>
      </c>
      <c r="J44" s="35"/>
    </row>
    <row r="45" spans="3:10" s="16" customFormat="1" ht="15.75">
      <c r="C45" s="16" t="s">
        <v>54</v>
      </c>
      <c r="D45" s="16" t="s">
        <v>55</v>
      </c>
      <c r="F45" s="101">
        <f>'2.bevétel'!F16</f>
        <v>1000</v>
      </c>
      <c r="G45" s="101">
        <f>'2.bevétel'!G16</f>
        <v>1000</v>
      </c>
      <c r="H45" s="101">
        <f>'2.bevétel'!H16</f>
        <v>26</v>
      </c>
      <c r="I45" s="100">
        <f t="shared" si="0"/>
        <v>0.026</v>
      </c>
      <c r="J45" s="35"/>
    </row>
    <row r="46" spans="3:10" s="16" customFormat="1" ht="15.75">
      <c r="C46" s="16" t="s">
        <v>56</v>
      </c>
      <c r="D46" s="16" t="s">
        <v>125</v>
      </c>
      <c r="F46" s="101"/>
      <c r="G46" s="101">
        <v>135679</v>
      </c>
      <c r="H46" s="101">
        <f>'2.bevétel'!H17+'2.bevétel'!H74</f>
        <v>27679</v>
      </c>
      <c r="I46" s="100">
        <f t="shared" si="0"/>
        <v>0.20400356724327273</v>
      </c>
      <c r="J46" s="35"/>
    </row>
    <row r="47" spans="1:13" s="52" customFormat="1" ht="15.75">
      <c r="A47" s="52" t="s">
        <v>17</v>
      </c>
      <c r="B47" s="52" t="s">
        <v>18</v>
      </c>
      <c r="F47" s="108">
        <f>SUM(F48)</f>
        <v>5000</v>
      </c>
      <c r="G47" s="108">
        <f>SUM(G48)</f>
        <v>100000</v>
      </c>
      <c r="H47" s="108">
        <f>H48</f>
        <v>100000</v>
      </c>
      <c r="I47" s="106">
        <f t="shared" si="0"/>
        <v>1</v>
      </c>
      <c r="J47" s="56"/>
      <c r="K47" s="56"/>
      <c r="L47" s="56"/>
      <c r="M47" s="66"/>
    </row>
    <row r="48" spans="2:13" s="16" customFormat="1" ht="15.75">
      <c r="B48" s="16" t="s">
        <v>58</v>
      </c>
      <c r="D48" s="16" t="s">
        <v>59</v>
      </c>
      <c r="F48" s="101">
        <f>'2.bevétel'!F19</f>
        <v>5000</v>
      </c>
      <c r="G48" s="101">
        <v>100000</v>
      </c>
      <c r="H48" s="101">
        <f>'2.bevétel'!H19+'2.bevétel'!H76</f>
        <v>100000</v>
      </c>
      <c r="I48" s="100">
        <f t="shared" si="0"/>
        <v>1</v>
      </c>
      <c r="J48" s="59"/>
      <c r="K48" s="59"/>
      <c r="L48" s="59"/>
      <c r="M48" s="35"/>
    </row>
    <row r="49" spans="1:10" s="52" customFormat="1" ht="15.75">
      <c r="A49" s="52" t="s">
        <v>22</v>
      </c>
      <c r="B49" s="52" t="s">
        <v>23</v>
      </c>
      <c r="E49" s="78"/>
      <c r="F49" s="108">
        <f>SUM(F50)</f>
        <v>24186876</v>
      </c>
      <c r="G49" s="108">
        <f>SUM(G50)</f>
        <v>24186876</v>
      </c>
      <c r="H49" s="108">
        <f>H50</f>
        <v>24483117</v>
      </c>
      <c r="I49" s="106">
        <f t="shared" si="0"/>
        <v>1.0122480059020438</v>
      </c>
      <c r="J49" s="66"/>
    </row>
    <row r="50" spans="2:10" s="16" customFormat="1" ht="15.75">
      <c r="B50" s="16" t="s">
        <v>61</v>
      </c>
      <c r="D50" s="16" t="s">
        <v>62</v>
      </c>
      <c r="F50" s="88">
        <f>SUM(F51:F52)</f>
        <v>24186876</v>
      </c>
      <c r="G50" s="88">
        <f>SUM(G51:G52)</f>
        <v>24186876</v>
      </c>
      <c r="H50" s="88">
        <f>SUM(H51:H52)</f>
        <v>24483117</v>
      </c>
      <c r="I50" s="100">
        <f t="shared" si="0"/>
        <v>1.0122480059020438</v>
      </c>
      <c r="J50" s="35"/>
    </row>
    <row r="51" spans="3:10" s="16" customFormat="1" ht="15.75">
      <c r="C51" s="16" t="s">
        <v>63</v>
      </c>
      <c r="E51" s="16" t="s">
        <v>66</v>
      </c>
      <c r="F51" s="102">
        <v>20736876</v>
      </c>
      <c r="G51" s="102">
        <v>20736876</v>
      </c>
      <c r="H51" s="102">
        <f>'2.bevétel'!H23</f>
        <v>20736876</v>
      </c>
      <c r="I51" s="100">
        <f t="shared" si="0"/>
        <v>1</v>
      </c>
      <c r="J51" s="35"/>
    </row>
    <row r="52" spans="3:10" s="16" customFormat="1" ht="15.75">
      <c r="C52" s="16" t="s">
        <v>112</v>
      </c>
      <c r="D52" s="16" t="s">
        <v>113</v>
      </c>
      <c r="E52" s="79"/>
      <c r="F52" s="102">
        <v>3450000</v>
      </c>
      <c r="G52" s="102">
        <v>3450000</v>
      </c>
      <c r="H52" s="102">
        <f>'2.bevétel'!H65+'2.bevétel'!H68</f>
        <v>3746241</v>
      </c>
      <c r="I52" s="100">
        <f t="shared" si="0"/>
        <v>1.0858669565217391</v>
      </c>
      <c r="J52" s="35"/>
    </row>
    <row r="53" spans="1:9" s="52" customFormat="1" ht="24.75" customHeight="1">
      <c r="A53" s="109" t="s">
        <v>126</v>
      </c>
      <c r="B53" s="110"/>
      <c r="C53" s="110"/>
      <c r="D53" s="110"/>
      <c r="E53" s="110"/>
      <c r="F53" s="111">
        <f>F49+F47+F43+F30+F9+F28</f>
        <v>82364000</v>
      </c>
      <c r="G53" s="111">
        <f>G49+G47+G43+G30+G9+G28</f>
        <v>94911314</v>
      </c>
      <c r="H53" s="111">
        <f>H49+H47+H43+H30+H9+H28</f>
        <v>94106581</v>
      </c>
      <c r="I53" s="112">
        <f t="shared" si="0"/>
        <v>0.9915212110539319</v>
      </c>
    </row>
    <row r="54" s="113" customFormat="1" ht="12.75">
      <c r="G54" s="96"/>
    </row>
    <row r="55" s="113" customFormat="1" ht="12.75">
      <c r="G55" s="96"/>
    </row>
    <row r="56" s="113" customFormat="1" ht="12.75">
      <c r="G56" s="96"/>
    </row>
    <row r="57" s="113" customFormat="1" ht="12.75">
      <c r="G57" s="96"/>
    </row>
    <row r="58" s="113" customFormat="1" ht="12.75">
      <c r="G58" s="96"/>
    </row>
    <row r="59" s="113" customFormat="1" ht="12.75">
      <c r="G59" s="96"/>
    </row>
    <row r="60" s="113" customFormat="1" ht="12.75">
      <c r="G60" s="96"/>
    </row>
    <row r="61" s="113" customFormat="1" ht="12.75">
      <c r="G61" s="96"/>
    </row>
    <row r="62" s="113" customFormat="1" ht="12.75">
      <c r="G62" s="96"/>
    </row>
    <row r="63" s="113" customFormat="1" ht="12.75">
      <c r="G63" s="96"/>
    </row>
    <row r="64" s="113" customFormat="1" ht="12.75">
      <c r="G64" s="96"/>
    </row>
  </sheetData>
  <sheetProtection selectLockedCells="1" selectUnlockedCells="1"/>
  <mergeCells count="7">
    <mergeCell ref="D18:E18"/>
    <mergeCell ref="A2:F2"/>
    <mergeCell ref="A3:I3"/>
    <mergeCell ref="A4:I4"/>
    <mergeCell ref="A5:I5"/>
    <mergeCell ref="A7:E8"/>
    <mergeCell ref="A1:I1"/>
  </mergeCells>
  <printOptions gridLines="1" headings="1"/>
  <pageMargins left="0.7" right="0.7" top="0.75" bottom="0.75" header="0.5118055555555555" footer="0.5118055555555555"/>
  <pageSetup horizontalDpi="300" verticalDpi="3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zoomScaleSheetLayoutView="110" zoomScalePageLayoutView="0" workbookViewId="0" topLeftCell="A1">
      <selection activeCell="A1" sqref="A1:E1"/>
    </sheetView>
  </sheetViews>
  <sheetFormatPr defaultColWidth="9.140625" defaultRowHeight="12.75"/>
  <cols>
    <col min="1" max="1" width="90.421875" style="114" customWidth="1"/>
    <col min="2" max="2" width="13.28125" style="114" customWidth="1"/>
    <col min="3" max="3" width="13.7109375" style="114" customWidth="1"/>
    <col min="4" max="4" width="15.7109375" style="114" customWidth="1"/>
    <col min="5" max="5" width="13.57421875" style="114" customWidth="1"/>
    <col min="6" max="16384" width="9.140625" style="114" customWidth="1"/>
  </cols>
  <sheetData>
    <row r="1" spans="1:5" ht="15.75">
      <c r="A1" s="469" t="s">
        <v>576</v>
      </c>
      <c r="B1" s="469"/>
      <c r="C1" s="469"/>
      <c r="D1" s="469"/>
      <c r="E1" s="469"/>
    </row>
    <row r="2" spans="1:5" s="115" customFormat="1" ht="15.75">
      <c r="A2" s="469"/>
      <c r="B2" s="469"/>
      <c r="C2" s="469"/>
      <c r="D2" s="469"/>
      <c r="E2" s="469"/>
    </row>
    <row r="3" spans="1:5" s="115" customFormat="1" ht="24" customHeight="1">
      <c r="A3" s="470" t="s">
        <v>0</v>
      </c>
      <c r="B3" s="470"/>
      <c r="C3" s="470"/>
      <c r="D3" s="470"/>
      <c r="E3" s="470"/>
    </row>
    <row r="4" spans="1:5" s="115" customFormat="1" ht="23.25" customHeight="1">
      <c r="A4" s="470" t="s">
        <v>127</v>
      </c>
      <c r="B4" s="470"/>
      <c r="C4" s="470"/>
      <c r="D4" s="470"/>
      <c r="E4" s="470"/>
    </row>
    <row r="5" spans="1:5" s="117" customFormat="1" ht="14.25" customHeight="1">
      <c r="A5" s="116"/>
      <c r="B5" s="116"/>
      <c r="C5" s="116"/>
      <c r="D5" s="116"/>
      <c r="E5" s="116"/>
    </row>
    <row r="6" spans="1:5" s="115" customFormat="1" ht="47.25">
      <c r="A6" s="118" t="s">
        <v>128</v>
      </c>
      <c r="B6" s="119" t="s">
        <v>129</v>
      </c>
      <c r="C6" s="119" t="s">
        <v>130</v>
      </c>
      <c r="D6" s="119" t="s">
        <v>131</v>
      </c>
      <c r="E6" s="119" t="s">
        <v>132</v>
      </c>
    </row>
    <row r="7" spans="1:5" s="115" customFormat="1" ht="15.75">
      <c r="A7" s="120" t="s">
        <v>49</v>
      </c>
      <c r="B7" s="506">
        <f>'2.bevétel'!H9</f>
        <v>484656</v>
      </c>
      <c r="C7" s="121">
        <v>0</v>
      </c>
      <c r="D7" s="121">
        <v>0</v>
      </c>
      <c r="E7" s="122">
        <f aca="true" t="shared" si="0" ref="E7:E18">SUM(B7:D7)</f>
        <v>484656</v>
      </c>
    </row>
    <row r="8" spans="1:5" s="115" customFormat="1" ht="15.75">
      <c r="A8" s="123" t="s">
        <v>133</v>
      </c>
      <c r="B8" s="124">
        <f>'2.bevétel'!H13</f>
        <v>66200</v>
      </c>
      <c r="C8" s="124">
        <v>0</v>
      </c>
      <c r="D8" s="124">
        <v>0</v>
      </c>
      <c r="E8" s="124">
        <f t="shared" si="0"/>
        <v>66200</v>
      </c>
    </row>
    <row r="9" spans="1:5" s="115" customFormat="1" ht="15.75">
      <c r="A9" s="125" t="s">
        <v>60</v>
      </c>
      <c r="B9" s="124">
        <f>'2.bevétel'!H20</f>
        <v>20736876</v>
      </c>
      <c r="C9" s="124">
        <v>0</v>
      </c>
      <c r="D9" s="124">
        <v>0</v>
      </c>
      <c r="E9" s="124">
        <f t="shared" si="0"/>
        <v>20736876</v>
      </c>
    </row>
    <row r="10" spans="1:5" s="115" customFormat="1" ht="15.75">
      <c r="A10" s="120" t="s">
        <v>67</v>
      </c>
      <c r="B10" s="124">
        <f>'2.bevétel'!H25</f>
        <v>12185239</v>
      </c>
      <c r="C10" s="124">
        <v>0</v>
      </c>
      <c r="D10" s="124">
        <v>0</v>
      </c>
      <c r="E10" s="124">
        <f t="shared" si="0"/>
        <v>12185239</v>
      </c>
    </row>
    <row r="11" spans="1:5" s="115" customFormat="1" ht="15.75">
      <c r="A11" s="120" t="s">
        <v>86</v>
      </c>
      <c r="B11" s="124">
        <f>'2.bevétel'!H40</f>
        <v>69000</v>
      </c>
      <c r="C11" s="124">
        <v>0</v>
      </c>
      <c r="D11" s="124">
        <v>0</v>
      </c>
      <c r="E11" s="124">
        <f t="shared" si="0"/>
        <v>69000</v>
      </c>
    </row>
    <row r="12" spans="1:5" s="115" customFormat="1" ht="15.75">
      <c r="A12" s="123" t="s">
        <v>134</v>
      </c>
      <c r="B12" s="124">
        <f>'2.bevétel'!H69</f>
        <v>142505</v>
      </c>
      <c r="C12" s="124">
        <v>0</v>
      </c>
      <c r="D12" s="124">
        <v>0</v>
      </c>
      <c r="E12" s="124">
        <f t="shared" si="0"/>
        <v>142505</v>
      </c>
    </row>
    <row r="13" spans="1:5" s="115" customFormat="1" ht="15.75">
      <c r="A13" s="125" t="s">
        <v>87</v>
      </c>
      <c r="B13" s="124">
        <f>'2.bevétel'!H43</f>
        <v>52925909</v>
      </c>
      <c r="C13" s="124">
        <v>0</v>
      </c>
      <c r="D13" s="124">
        <v>0</v>
      </c>
      <c r="E13" s="124">
        <f t="shared" si="0"/>
        <v>52925909</v>
      </c>
    </row>
    <row r="14" spans="1:5" s="115" customFormat="1" ht="15.75">
      <c r="A14" s="125" t="s">
        <v>114</v>
      </c>
      <c r="B14" s="124">
        <f>'2.bevétel'!H66</f>
        <v>2851273</v>
      </c>
      <c r="C14" s="124">
        <v>0</v>
      </c>
      <c r="D14" s="124">
        <v>0</v>
      </c>
      <c r="E14" s="124">
        <f t="shared" si="0"/>
        <v>2851273</v>
      </c>
    </row>
    <row r="15" spans="1:5" s="115" customFormat="1" ht="15.75">
      <c r="A15" s="125" t="s">
        <v>116</v>
      </c>
      <c r="B15" s="124">
        <f>4493923+1244746</f>
        <v>5738669</v>
      </c>
      <c r="C15" s="124">
        <v>0</v>
      </c>
      <c r="D15" s="124">
        <v>0</v>
      </c>
      <c r="E15" s="124">
        <f t="shared" si="0"/>
        <v>5738669</v>
      </c>
    </row>
    <row r="16" spans="1:5" s="115" customFormat="1" ht="15.75">
      <c r="A16" s="125" t="s">
        <v>135</v>
      </c>
      <c r="B16" s="124">
        <v>0</v>
      </c>
      <c r="C16" s="124">
        <f>'11.Idősek Otthona bevétel'!H8+'11.Idősek Otthona bevétel'!H21</f>
        <v>24847086</v>
      </c>
      <c r="D16" s="124">
        <v>0</v>
      </c>
      <c r="E16" s="124">
        <f t="shared" si="0"/>
        <v>24847086</v>
      </c>
    </row>
    <row r="17" spans="1:5" s="129" customFormat="1" ht="15.75">
      <c r="A17" s="126" t="s">
        <v>119</v>
      </c>
      <c r="B17" s="127">
        <v>0</v>
      </c>
      <c r="C17" s="128">
        <f>'2.bevétel'!H80</f>
        <v>108000</v>
      </c>
      <c r="D17" s="127">
        <v>0</v>
      </c>
      <c r="E17" s="124">
        <f t="shared" si="0"/>
        <v>108000</v>
      </c>
    </row>
    <row r="18" spans="1:5" s="129" customFormat="1" ht="15.75">
      <c r="A18" s="126" t="s">
        <v>120</v>
      </c>
      <c r="B18" s="130">
        <f>'2.bevétel'!H83</f>
        <v>43000</v>
      </c>
      <c r="C18" s="130">
        <v>0</v>
      </c>
      <c r="D18" s="131">
        <v>0</v>
      </c>
      <c r="E18" s="132">
        <f t="shared" si="0"/>
        <v>43000</v>
      </c>
    </row>
    <row r="19" spans="1:5" s="115" customFormat="1" ht="15.75">
      <c r="A19" s="133" t="s">
        <v>136</v>
      </c>
      <c r="B19" s="134">
        <f>SUM(B7:B18)</f>
        <v>95243327</v>
      </c>
      <c r="C19" s="134">
        <f>SUM(C7:C18)</f>
        <v>24955086</v>
      </c>
      <c r="D19" s="134">
        <f>SUM(D7:D18)</f>
        <v>0</v>
      </c>
      <c r="E19" s="135">
        <f>SUM(E7:E18)</f>
        <v>120198413</v>
      </c>
    </row>
    <row r="20" s="115" customFormat="1" ht="12.75">
      <c r="B20" s="136"/>
    </row>
    <row r="21" s="115" customFormat="1" ht="12.75"/>
    <row r="22" s="115" customFormat="1" ht="12.75">
      <c r="C22" s="136"/>
    </row>
  </sheetData>
  <sheetProtection selectLockedCells="1" selectUnlockedCells="1"/>
  <mergeCells count="4">
    <mergeCell ref="A1:E1"/>
    <mergeCell ref="A2:E2"/>
    <mergeCell ref="A3:E3"/>
    <mergeCell ref="A4:E4"/>
  </mergeCells>
  <printOptions gridLines="1" headings="1"/>
  <pageMargins left="0.7479166666666667" right="0.7479166666666667" top="0.9840277777777777" bottom="0.9840277777777777" header="0.5118055555555555" footer="0.5118055555555555"/>
  <pageSetup horizontalDpi="300" verticalDpi="3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56"/>
  <sheetViews>
    <sheetView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" width="4.140625" style="16" customWidth="1"/>
    <col min="2" max="2" width="4.8515625" style="79" customWidth="1"/>
    <col min="3" max="3" width="9.00390625" style="79" customWidth="1"/>
    <col min="4" max="5" width="2.140625" style="79" customWidth="1"/>
    <col min="6" max="6" width="61.421875" style="79" customWidth="1"/>
    <col min="7" max="7" width="9.140625" style="79" customWidth="1"/>
    <col min="8" max="9" width="16.140625" style="79" customWidth="1"/>
    <col min="10" max="10" width="16.7109375" style="79" customWidth="1"/>
    <col min="11" max="11" width="17.421875" style="79" customWidth="1"/>
    <col min="12" max="12" width="6.8515625" style="79" customWidth="1"/>
    <col min="13" max="13" width="9.140625" style="2" customWidth="1"/>
    <col min="14" max="14" width="11.8515625" style="2" customWidth="1"/>
    <col min="15" max="16384" width="9.140625" style="2" customWidth="1"/>
  </cols>
  <sheetData>
    <row r="1" spans="1:12" ht="15.75">
      <c r="A1" s="471" t="s">
        <v>577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36"/>
    </row>
    <row r="2" spans="1:12" s="138" customFormat="1" ht="16.5" customHeight="1">
      <c r="A2" s="471"/>
      <c r="B2" s="471"/>
      <c r="C2" s="471"/>
      <c r="D2" s="471"/>
      <c r="E2" s="471"/>
      <c r="F2" s="471"/>
      <c r="G2" s="471"/>
      <c r="H2" s="471"/>
      <c r="I2" s="137"/>
      <c r="J2" s="449"/>
      <c r="K2" s="137"/>
      <c r="L2" s="36"/>
    </row>
    <row r="3" spans="1:12" ht="21.75" customHeight="1">
      <c r="A3" s="464" t="s">
        <v>0</v>
      </c>
      <c r="B3" s="464"/>
      <c r="C3" s="464"/>
      <c r="D3" s="464"/>
      <c r="E3" s="464"/>
      <c r="F3" s="464"/>
      <c r="G3" s="464"/>
      <c r="H3" s="464"/>
      <c r="I3" s="464"/>
      <c r="J3" s="464"/>
      <c r="K3" s="464"/>
      <c r="L3" s="39"/>
    </row>
    <row r="4" spans="1:12" ht="21.75" customHeight="1">
      <c r="A4" s="464" t="s">
        <v>137</v>
      </c>
      <c r="B4" s="464"/>
      <c r="C4" s="464"/>
      <c r="D4" s="464"/>
      <c r="E4" s="464"/>
      <c r="F4" s="464"/>
      <c r="G4" s="464"/>
      <c r="H4" s="464"/>
      <c r="I4" s="464"/>
      <c r="J4" s="464"/>
      <c r="K4" s="464"/>
      <c r="L4" s="39"/>
    </row>
    <row r="5" spans="1:12" ht="18.75" customHeight="1">
      <c r="A5" s="465" t="s">
        <v>138</v>
      </c>
      <c r="B5" s="465"/>
      <c r="C5" s="465"/>
      <c r="D5" s="465"/>
      <c r="E5" s="465"/>
      <c r="F5" s="465"/>
      <c r="G5" s="465"/>
      <c r="H5" s="465"/>
      <c r="I5" s="465"/>
      <c r="J5" s="465"/>
      <c r="K5" s="465"/>
      <c r="L5" s="41"/>
    </row>
    <row r="6" spans="1:12" s="4" customFormat="1" ht="12.75" customHeight="1">
      <c r="A6" s="43"/>
      <c r="B6" s="43"/>
      <c r="C6" s="43"/>
      <c r="D6" s="43"/>
      <c r="E6" s="43"/>
      <c r="F6" s="43"/>
      <c r="G6" s="43"/>
      <c r="H6" s="43"/>
      <c r="I6" s="41"/>
      <c r="J6" s="41"/>
      <c r="K6" s="41"/>
      <c r="L6" s="43"/>
    </row>
    <row r="7" spans="1:12" ht="38.25" customHeight="1">
      <c r="A7" s="466" t="s">
        <v>46</v>
      </c>
      <c r="B7" s="466"/>
      <c r="C7" s="466"/>
      <c r="D7" s="466"/>
      <c r="E7" s="466"/>
      <c r="F7" s="466"/>
      <c r="G7" s="466" t="s">
        <v>139</v>
      </c>
      <c r="H7" s="97" t="s">
        <v>47</v>
      </c>
      <c r="I7" s="97" t="s">
        <v>47</v>
      </c>
      <c r="J7" s="47" t="s">
        <v>4</v>
      </c>
      <c r="K7" s="48" t="s">
        <v>5</v>
      </c>
      <c r="L7" s="139"/>
    </row>
    <row r="8" spans="1:12" s="8" customFormat="1" ht="22.5" customHeight="1">
      <c r="A8" s="466"/>
      <c r="B8" s="466"/>
      <c r="C8" s="466"/>
      <c r="D8" s="466"/>
      <c r="E8" s="466"/>
      <c r="F8" s="466"/>
      <c r="G8" s="466"/>
      <c r="H8" s="97" t="s">
        <v>6</v>
      </c>
      <c r="I8" s="97" t="s">
        <v>7</v>
      </c>
      <c r="J8" s="48" t="s">
        <v>8</v>
      </c>
      <c r="K8" s="47" t="s">
        <v>9</v>
      </c>
      <c r="L8" s="139"/>
    </row>
    <row r="9" spans="1:12" s="16" customFormat="1" ht="32.25" customHeight="1">
      <c r="A9" s="472" t="s">
        <v>53</v>
      </c>
      <c r="B9" s="472"/>
      <c r="C9" s="472"/>
      <c r="D9" s="472"/>
      <c r="E9" s="472"/>
      <c r="F9" s="472"/>
      <c r="G9" s="140" t="s">
        <v>140</v>
      </c>
      <c r="H9" s="141">
        <f>SUM(H10+H18+H20+H51)</f>
        <v>23907000</v>
      </c>
      <c r="I9" s="141">
        <f>SUM(I10+I18+I20+I51)</f>
        <v>29596637</v>
      </c>
      <c r="J9" s="141">
        <f>SUM(J10+J18+J20+J51)</f>
        <v>13712675</v>
      </c>
      <c r="K9" s="142">
        <f aca="true" t="shared" si="0" ref="K9:K15">J9/I9</f>
        <v>0.46331868718733143</v>
      </c>
      <c r="L9" s="84"/>
    </row>
    <row r="10" spans="1:14" s="52" customFormat="1" ht="15.75">
      <c r="A10" s="52" t="s">
        <v>26</v>
      </c>
      <c r="B10" s="78" t="s">
        <v>141</v>
      </c>
      <c r="C10" s="78"/>
      <c r="D10" s="78"/>
      <c r="E10" s="78"/>
      <c r="F10" s="143"/>
      <c r="G10" s="143"/>
      <c r="H10" s="144">
        <f>SUM(H11+H15)</f>
        <v>6553000</v>
      </c>
      <c r="I10" s="144">
        <f>SUM(I11+I15)</f>
        <v>7299075</v>
      </c>
      <c r="J10" s="144">
        <f>SUM(J11+J15)</f>
        <v>6837374</v>
      </c>
      <c r="K10" s="145">
        <f t="shared" si="0"/>
        <v>0.936745272517408</v>
      </c>
      <c r="L10" s="84"/>
      <c r="N10" s="54"/>
    </row>
    <row r="11" spans="2:14" s="16" customFormat="1" ht="15.75">
      <c r="B11" s="79" t="s">
        <v>142</v>
      </c>
      <c r="C11" s="79"/>
      <c r="D11" s="79" t="s">
        <v>143</v>
      </c>
      <c r="E11" s="79"/>
      <c r="F11" s="146"/>
      <c r="G11" s="146"/>
      <c r="H11" s="147">
        <f>SUM(H12)</f>
        <v>2220000</v>
      </c>
      <c r="I11" s="147">
        <f>SUM(I12:I14)</f>
        <v>2566075</v>
      </c>
      <c r="J11" s="147">
        <f>SUM(J12:J14)</f>
        <v>2283907</v>
      </c>
      <c r="K11" s="145">
        <f t="shared" si="0"/>
        <v>0.8900390674473662</v>
      </c>
      <c r="L11" s="85"/>
      <c r="N11" s="34"/>
    </row>
    <row r="12" spans="2:14" s="16" customFormat="1" ht="15.75">
      <c r="B12" s="79"/>
      <c r="C12" s="79" t="s">
        <v>144</v>
      </c>
      <c r="D12" s="79" t="s">
        <v>145</v>
      </c>
      <c r="E12" s="79"/>
      <c r="F12" s="146"/>
      <c r="G12" s="146"/>
      <c r="H12" s="148">
        <v>2220000</v>
      </c>
      <c r="I12" s="148">
        <v>2500000</v>
      </c>
      <c r="J12" s="148">
        <v>2217832</v>
      </c>
      <c r="K12" s="145">
        <f t="shared" si="0"/>
        <v>0.8871328</v>
      </c>
      <c r="L12" s="86"/>
      <c r="N12" s="34"/>
    </row>
    <row r="13" spans="2:14" s="16" customFormat="1" ht="15.75">
      <c r="B13" s="79"/>
      <c r="C13" s="79" t="s">
        <v>146</v>
      </c>
      <c r="D13" s="79" t="s">
        <v>147</v>
      </c>
      <c r="E13" s="79"/>
      <c r="F13" s="146"/>
      <c r="G13" s="146"/>
      <c r="H13" s="148"/>
      <c r="I13" s="148">
        <v>30075</v>
      </c>
      <c r="J13" s="148">
        <v>30075</v>
      </c>
      <c r="K13" s="145">
        <f t="shared" si="0"/>
        <v>1</v>
      </c>
      <c r="L13" s="87"/>
      <c r="N13" s="34"/>
    </row>
    <row r="14" spans="2:14" s="16" customFormat="1" ht="15.75">
      <c r="B14" s="79"/>
      <c r="C14" s="79" t="s">
        <v>148</v>
      </c>
      <c r="D14" s="79" t="s">
        <v>149</v>
      </c>
      <c r="E14" s="79"/>
      <c r="F14" s="146"/>
      <c r="G14" s="146"/>
      <c r="H14" s="148"/>
      <c r="I14" s="148">
        <v>36000</v>
      </c>
      <c r="J14" s="148">
        <v>36000</v>
      </c>
      <c r="K14" s="145">
        <f t="shared" si="0"/>
        <v>1</v>
      </c>
      <c r="L14" s="86"/>
      <c r="N14" s="34"/>
    </row>
    <row r="15" spans="2:14" s="16" customFormat="1" ht="15.75">
      <c r="B15" s="79" t="s">
        <v>150</v>
      </c>
      <c r="C15" s="79"/>
      <c r="D15" s="79" t="s">
        <v>151</v>
      </c>
      <c r="E15" s="79"/>
      <c r="F15" s="146"/>
      <c r="G15" s="146"/>
      <c r="H15" s="147">
        <f>SUM(H16:H17)</f>
        <v>4333000</v>
      </c>
      <c r="I15" s="147">
        <v>4733000</v>
      </c>
      <c r="J15" s="147">
        <v>4553467</v>
      </c>
      <c r="K15" s="145">
        <f t="shared" si="0"/>
        <v>0.962067821677583</v>
      </c>
      <c r="L15" s="85"/>
      <c r="N15" s="34"/>
    </row>
    <row r="16" spans="2:14" s="16" customFormat="1" ht="15.75">
      <c r="B16" s="79"/>
      <c r="C16" s="79" t="s">
        <v>152</v>
      </c>
      <c r="D16" s="79" t="s">
        <v>153</v>
      </c>
      <c r="E16" s="79"/>
      <c r="F16" s="146"/>
      <c r="G16" s="146"/>
      <c r="H16" s="148">
        <v>2065000</v>
      </c>
      <c r="I16" s="148"/>
      <c r="J16" s="148"/>
      <c r="K16" s="145"/>
      <c r="L16" s="86"/>
      <c r="N16" s="34"/>
    </row>
    <row r="17" spans="2:14" s="16" customFormat="1" ht="15.75">
      <c r="B17" s="79"/>
      <c r="C17" s="79"/>
      <c r="D17" s="79" t="s">
        <v>154</v>
      </c>
      <c r="E17" s="79"/>
      <c r="F17" s="146"/>
      <c r="G17" s="146"/>
      <c r="H17" s="148">
        <v>2268000</v>
      </c>
      <c r="I17" s="148"/>
      <c r="J17" s="148"/>
      <c r="K17" s="145"/>
      <c r="L17" s="86"/>
      <c r="N17" s="34"/>
    </row>
    <row r="18" spans="1:14" s="52" customFormat="1" ht="15.75" customHeight="1">
      <c r="A18" s="52" t="s">
        <v>28</v>
      </c>
      <c r="B18" s="53" t="s">
        <v>155</v>
      </c>
      <c r="C18" s="53"/>
      <c r="D18" s="53"/>
      <c r="E18" s="53"/>
      <c r="F18" s="149"/>
      <c r="G18" s="150"/>
      <c r="H18" s="144">
        <f>SUM(H19)</f>
        <v>1278000</v>
      </c>
      <c r="I18" s="144">
        <f>SUM(I19)</f>
        <v>1322500</v>
      </c>
      <c r="J18" s="144">
        <f>J19</f>
        <v>1322234</v>
      </c>
      <c r="K18" s="145">
        <f aca="true" t="shared" si="1" ref="K18:K24">J18/I18</f>
        <v>0.9997988657844991</v>
      </c>
      <c r="L18" s="84"/>
      <c r="N18" s="54"/>
    </row>
    <row r="19" spans="2:14" s="16" customFormat="1" ht="15.75">
      <c r="B19" s="79"/>
      <c r="C19" s="79"/>
      <c r="D19" s="79" t="s">
        <v>156</v>
      </c>
      <c r="E19" s="79"/>
      <c r="F19" s="146"/>
      <c r="G19" s="146"/>
      <c r="H19" s="148">
        <v>1278000</v>
      </c>
      <c r="I19" s="148">
        <v>1322500</v>
      </c>
      <c r="J19" s="148">
        <v>1322234</v>
      </c>
      <c r="K19" s="145">
        <f t="shared" si="1"/>
        <v>0.9997988657844991</v>
      </c>
      <c r="L19" s="87"/>
      <c r="N19" s="34"/>
    </row>
    <row r="20" spans="1:14" s="52" customFormat="1" ht="15.75">
      <c r="A20" s="52" t="s">
        <v>30</v>
      </c>
      <c r="B20" s="53" t="s">
        <v>31</v>
      </c>
      <c r="C20" s="53"/>
      <c r="D20" s="53"/>
      <c r="E20" s="53"/>
      <c r="F20" s="149"/>
      <c r="G20" s="143"/>
      <c r="H20" s="144">
        <f>SUM(H21+H28+H35+H48)</f>
        <v>2971000</v>
      </c>
      <c r="I20" s="144">
        <f>SUM(I21+I28+I35+I46+I48)</f>
        <v>3142000</v>
      </c>
      <c r="J20" s="144">
        <f>SUM(J21+J28+J35+J46+J48)</f>
        <v>1788539</v>
      </c>
      <c r="K20" s="145">
        <f t="shared" si="1"/>
        <v>0.5692358370464672</v>
      </c>
      <c r="L20" s="84"/>
      <c r="N20" s="54"/>
    </row>
    <row r="21" spans="2:14" s="16" customFormat="1" ht="15.75">
      <c r="B21" s="79" t="s">
        <v>157</v>
      </c>
      <c r="C21" s="79"/>
      <c r="D21" s="79" t="s">
        <v>158</v>
      </c>
      <c r="E21" s="79"/>
      <c r="F21" s="151"/>
      <c r="G21" s="151"/>
      <c r="H21" s="147">
        <f>SUM(H22+H24)</f>
        <v>215000</v>
      </c>
      <c r="I21" s="147">
        <f>SUM(I22+I24)</f>
        <v>340000</v>
      </c>
      <c r="J21" s="147">
        <f>SUM(J22+J24)</f>
        <v>316335</v>
      </c>
      <c r="K21" s="145">
        <f t="shared" si="1"/>
        <v>0.9303970588235294</v>
      </c>
      <c r="L21" s="85"/>
      <c r="N21" s="34"/>
    </row>
    <row r="22" spans="2:14" s="16" customFormat="1" ht="15.75">
      <c r="B22" s="79"/>
      <c r="C22" s="79" t="s">
        <v>159</v>
      </c>
      <c r="D22" s="79" t="s">
        <v>160</v>
      </c>
      <c r="E22" s="79"/>
      <c r="F22" s="151"/>
      <c r="G22" s="151"/>
      <c r="H22" s="148">
        <f>SUM(H23)</f>
        <v>20000</v>
      </c>
      <c r="I22" s="148">
        <f>SUM(I23)</f>
        <v>20000</v>
      </c>
      <c r="J22" s="148">
        <v>0</v>
      </c>
      <c r="K22" s="145">
        <f t="shared" si="1"/>
        <v>0</v>
      </c>
      <c r="L22" s="86"/>
      <c r="N22" s="34"/>
    </row>
    <row r="23" spans="2:14" s="16" customFormat="1" ht="15.75">
      <c r="B23" s="79"/>
      <c r="C23" s="79"/>
      <c r="D23" s="79"/>
      <c r="E23" s="79"/>
      <c r="F23" s="151" t="s">
        <v>161</v>
      </c>
      <c r="G23" s="151"/>
      <c r="H23" s="152">
        <v>20000</v>
      </c>
      <c r="I23" s="152">
        <v>20000</v>
      </c>
      <c r="J23" s="152"/>
      <c r="K23" s="145">
        <f t="shared" si="1"/>
        <v>0</v>
      </c>
      <c r="L23" s="153"/>
      <c r="N23" s="34"/>
    </row>
    <row r="24" spans="2:14" s="16" customFormat="1" ht="15.75">
      <c r="B24" s="79"/>
      <c r="C24" s="79" t="s">
        <v>162</v>
      </c>
      <c r="D24" s="79" t="s">
        <v>163</v>
      </c>
      <c r="E24" s="79"/>
      <c r="F24" s="146"/>
      <c r="G24" s="146"/>
      <c r="H24" s="148">
        <f>SUM(H25:H27)</f>
        <v>195000</v>
      </c>
      <c r="I24" s="148">
        <v>320000</v>
      </c>
      <c r="J24" s="148">
        <v>316335</v>
      </c>
      <c r="K24" s="145">
        <f t="shared" si="1"/>
        <v>0.988546875</v>
      </c>
      <c r="L24" s="86"/>
      <c r="N24" s="34"/>
    </row>
    <row r="25" spans="1:14" s="16" customFormat="1" ht="15.75">
      <c r="A25" s="52"/>
      <c r="B25" s="78"/>
      <c r="C25" s="78"/>
      <c r="D25" s="154"/>
      <c r="E25" s="154"/>
      <c r="F25" s="146" t="s">
        <v>164</v>
      </c>
      <c r="G25" s="146"/>
      <c r="H25" s="152">
        <v>20000</v>
      </c>
      <c r="I25" s="152"/>
      <c r="J25" s="152"/>
      <c r="K25" s="145"/>
      <c r="L25" s="153"/>
      <c r="N25" s="34"/>
    </row>
    <row r="26" spans="1:14" s="16" customFormat="1" ht="15.75">
      <c r="A26" s="52"/>
      <c r="B26" s="78"/>
      <c r="C26" s="78"/>
      <c r="D26" s="154"/>
      <c r="E26" s="154"/>
      <c r="F26" s="146" t="s">
        <v>165</v>
      </c>
      <c r="G26" s="146"/>
      <c r="H26" s="152">
        <v>15000</v>
      </c>
      <c r="I26" s="152"/>
      <c r="J26" s="152"/>
      <c r="K26" s="145"/>
      <c r="L26" s="153"/>
      <c r="N26" s="34"/>
    </row>
    <row r="27" spans="1:14" s="16" customFormat="1" ht="15.75">
      <c r="A27" s="52"/>
      <c r="B27" s="78"/>
      <c r="C27" s="78"/>
      <c r="D27" s="154"/>
      <c r="E27" s="154"/>
      <c r="F27" s="146" t="s">
        <v>166</v>
      </c>
      <c r="G27" s="146"/>
      <c r="H27" s="152">
        <v>160000</v>
      </c>
      <c r="I27" s="152"/>
      <c r="J27" s="152"/>
      <c r="K27" s="145"/>
      <c r="L27" s="153"/>
      <c r="N27" s="34"/>
    </row>
    <row r="28" spans="2:14" s="16" customFormat="1" ht="15.75">
      <c r="B28" s="79" t="s">
        <v>167</v>
      </c>
      <c r="C28" s="79"/>
      <c r="D28" s="79" t="s">
        <v>168</v>
      </c>
      <c r="E28" s="79"/>
      <c r="F28" s="146"/>
      <c r="G28" s="146"/>
      <c r="H28" s="147">
        <f>SUM(H29+H33)</f>
        <v>435000</v>
      </c>
      <c r="I28" s="147">
        <f>SUM(I29+I33)</f>
        <v>450000</v>
      </c>
      <c r="J28" s="147">
        <f>SUM(J29+J33)</f>
        <v>388675</v>
      </c>
      <c r="K28" s="145">
        <f>J28/I28</f>
        <v>0.8637222222222222</v>
      </c>
      <c r="L28" s="85"/>
      <c r="N28" s="34"/>
    </row>
    <row r="29" spans="2:14" s="16" customFormat="1" ht="15.75">
      <c r="B29" s="79"/>
      <c r="C29" s="79" t="s">
        <v>169</v>
      </c>
      <c r="D29" s="79" t="s">
        <v>170</v>
      </c>
      <c r="E29" s="79"/>
      <c r="F29" s="146"/>
      <c r="G29" s="146"/>
      <c r="H29" s="148">
        <f>SUM(H30:H32)</f>
        <v>315000</v>
      </c>
      <c r="I29" s="148">
        <v>330000</v>
      </c>
      <c r="J29" s="148">
        <v>329928</v>
      </c>
      <c r="K29" s="145">
        <f>J29/I29</f>
        <v>0.9997818181818182</v>
      </c>
      <c r="L29" s="86"/>
      <c r="N29" s="34"/>
    </row>
    <row r="30" spans="2:14" s="16" customFormat="1" ht="15.75">
      <c r="B30" s="79"/>
      <c r="C30" s="79"/>
      <c r="D30" s="79"/>
      <c r="E30" s="79"/>
      <c r="F30" s="146" t="s">
        <v>171</v>
      </c>
      <c r="G30" s="146"/>
      <c r="H30" s="152">
        <v>85000</v>
      </c>
      <c r="I30" s="152"/>
      <c r="J30" s="152"/>
      <c r="K30" s="145"/>
      <c r="L30" s="153"/>
      <c r="N30" s="34"/>
    </row>
    <row r="31" spans="2:14" s="16" customFormat="1" ht="15.75">
      <c r="B31" s="79"/>
      <c r="C31" s="79"/>
      <c r="D31" s="79"/>
      <c r="E31" s="79"/>
      <c r="F31" s="146" t="s">
        <v>172</v>
      </c>
      <c r="G31" s="146"/>
      <c r="H31" s="152">
        <v>100000</v>
      </c>
      <c r="I31" s="152"/>
      <c r="J31" s="152"/>
      <c r="K31" s="145"/>
      <c r="L31" s="153"/>
      <c r="N31" s="34"/>
    </row>
    <row r="32" spans="2:14" s="16" customFormat="1" ht="15.75">
      <c r="B32" s="79"/>
      <c r="C32" s="79"/>
      <c r="D32" s="79"/>
      <c r="E32" s="79"/>
      <c r="F32" s="146" t="s">
        <v>173</v>
      </c>
      <c r="G32" s="146"/>
      <c r="H32" s="152">
        <v>130000</v>
      </c>
      <c r="I32" s="152"/>
      <c r="J32" s="152"/>
      <c r="K32" s="145"/>
      <c r="L32" s="153"/>
      <c r="N32" s="34"/>
    </row>
    <row r="33" spans="2:14" s="16" customFormat="1" ht="15.75">
      <c r="B33" s="79"/>
      <c r="C33" s="79" t="s">
        <v>174</v>
      </c>
      <c r="D33" s="79" t="s">
        <v>175</v>
      </c>
      <c r="E33" s="79"/>
      <c r="F33" s="146"/>
      <c r="G33" s="146"/>
      <c r="H33" s="148">
        <f>SUM(H34)</f>
        <v>120000</v>
      </c>
      <c r="I33" s="148">
        <f>SUM(I34)</f>
        <v>120000</v>
      </c>
      <c r="J33" s="148">
        <v>58747</v>
      </c>
      <c r="K33" s="145">
        <f aca="true" t="shared" si="2" ref="K33:K52">J33/I33</f>
        <v>0.4895583333333333</v>
      </c>
      <c r="L33" s="86"/>
      <c r="N33" s="34"/>
    </row>
    <row r="34" spans="2:14" s="16" customFormat="1" ht="15.75">
      <c r="B34" s="79"/>
      <c r="C34" s="79"/>
      <c r="D34" s="79"/>
      <c r="E34" s="79"/>
      <c r="F34" s="146" t="s">
        <v>176</v>
      </c>
      <c r="G34" s="146"/>
      <c r="H34" s="152">
        <v>120000</v>
      </c>
      <c r="I34" s="152">
        <v>120000</v>
      </c>
      <c r="J34" s="152"/>
      <c r="K34" s="145">
        <f t="shared" si="2"/>
        <v>0</v>
      </c>
      <c r="L34" s="153"/>
      <c r="N34" s="34"/>
    </row>
    <row r="35" spans="2:14" s="16" customFormat="1" ht="15.75">
      <c r="B35" s="79" t="s">
        <v>177</v>
      </c>
      <c r="C35" s="79"/>
      <c r="D35" s="79" t="s">
        <v>178</v>
      </c>
      <c r="E35" s="79"/>
      <c r="F35" s="146"/>
      <c r="G35" s="146"/>
      <c r="H35" s="147">
        <f>SUM(H36+H40+H41)</f>
        <v>2055000</v>
      </c>
      <c r="I35" s="147">
        <f>SUM(I36+I40+I41)</f>
        <v>2055000</v>
      </c>
      <c r="J35" s="147">
        <f>SUM(J36+J40+J41+J43)</f>
        <v>890648</v>
      </c>
      <c r="K35" s="145">
        <f t="shared" si="2"/>
        <v>0.43340535279805353</v>
      </c>
      <c r="L35" s="85"/>
      <c r="N35" s="34"/>
    </row>
    <row r="36" spans="2:12" s="16" customFormat="1" ht="15.75">
      <c r="B36" s="79"/>
      <c r="C36" s="79" t="s">
        <v>179</v>
      </c>
      <c r="D36" s="79" t="s">
        <v>180</v>
      </c>
      <c r="E36" s="79"/>
      <c r="F36" s="146"/>
      <c r="G36" s="146"/>
      <c r="H36" s="148">
        <f>SUM(H37:H39)</f>
        <v>410000</v>
      </c>
      <c r="I36" s="148">
        <f>SUM(I37:I39)</f>
        <v>410000</v>
      </c>
      <c r="J36" s="148">
        <v>267489</v>
      </c>
      <c r="K36" s="145">
        <f t="shared" si="2"/>
        <v>0.6524121951219513</v>
      </c>
      <c r="L36" s="86"/>
    </row>
    <row r="37" spans="2:12" s="16" customFormat="1" ht="15.75">
      <c r="B37" s="79"/>
      <c r="C37" s="79"/>
      <c r="D37" s="79"/>
      <c r="E37" s="79"/>
      <c r="F37" s="146" t="s">
        <v>181</v>
      </c>
      <c r="G37" s="146"/>
      <c r="H37" s="152">
        <v>50000</v>
      </c>
      <c r="I37" s="152">
        <v>50000</v>
      </c>
      <c r="J37" s="152"/>
      <c r="K37" s="145">
        <f t="shared" si="2"/>
        <v>0</v>
      </c>
      <c r="L37" s="153"/>
    </row>
    <row r="38" spans="2:12" s="16" customFormat="1" ht="15.75">
      <c r="B38" s="79"/>
      <c r="C38" s="79"/>
      <c r="D38" s="79"/>
      <c r="E38" s="79"/>
      <c r="F38" s="146" t="s">
        <v>182</v>
      </c>
      <c r="G38" s="146"/>
      <c r="H38" s="152">
        <v>350000</v>
      </c>
      <c r="I38" s="152">
        <v>350000</v>
      </c>
      <c r="J38" s="152"/>
      <c r="K38" s="145">
        <f t="shared" si="2"/>
        <v>0</v>
      </c>
      <c r="L38" s="153"/>
    </row>
    <row r="39" spans="2:12" s="16" customFormat="1" ht="15.75">
      <c r="B39" s="79"/>
      <c r="C39" s="79"/>
      <c r="D39" s="79"/>
      <c r="E39" s="79"/>
      <c r="F39" s="146" t="s">
        <v>183</v>
      </c>
      <c r="G39" s="146"/>
      <c r="H39" s="152">
        <v>10000</v>
      </c>
      <c r="I39" s="152">
        <v>10000</v>
      </c>
      <c r="J39" s="152"/>
      <c r="K39" s="145">
        <f t="shared" si="2"/>
        <v>0</v>
      </c>
      <c r="L39" s="153"/>
    </row>
    <row r="40" spans="2:12" s="16" customFormat="1" ht="15.75">
      <c r="B40" s="79"/>
      <c r="C40" s="79" t="s">
        <v>184</v>
      </c>
      <c r="D40" s="79" t="s">
        <v>185</v>
      </c>
      <c r="E40" s="79"/>
      <c r="F40" s="146"/>
      <c r="G40" s="146"/>
      <c r="H40" s="148">
        <v>1000000</v>
      </c>
      <c r="I40" s="148">
        <v>1000000</v>
      </c>
      <c r="J40" s="148"/>
      <c r="K40" s="145">
        <f t="shared" si="2"/>
        <v>0</v>
      </c>
      <c r="L40" s="86"/>
    </row>
    <row r="41" spans="2:12" s="16" customFormat="1" ht="15.75">
      <c r="B41" s="79"/>
      <c r="C41" s="79" t="s">
        <v>186</v>
      </c>
      <c r="D41" s="79" t="s">
        <v>187</v>
      </c>
      <c r="E41" s="79"/>
      <c r="F41" s="146"/>
      <c r="G41" s="146"/>
      <c r="H41" s="148">
        <f>SUM(H42:H45)</f>
        <v>645000</v>
      </c>
      <c r="I41" s="148">
        <f>SUM(I42:I45)</f>
        <v>645000</v>
      </c>
      <c r="J41" s="148">
        <v>493801</v>
      </c>
      <c r="K41" s="145">
        <f t="shared" si="2"/>
        <v>0.7655829457364342</v>
      </c>
      <c r="L41" s="86"/>
    </row>
    <row r="42" spans="2:12" s="16" customFormat="1" ht="15.75">
      <c r="B42" s="79"/>
      <c r="C42" s="79"/>
      <c r="D42" s="79"/>
      <c r="E42" s="79"/>
      <c r="F42" s="146" t="s">
        <v>188</v>
      </c>
      <c r="G42" s="146"/>
      <c r="H42" s="152">
        <v>5000</v>
      </c>
      <c r="I42" s="152">
        <v>5000</v>
      </c>
      <c r="J42" s="152"/>
      <c r="K42" s="145">
        <f t="shared" si="2"/>
        <v>0</v>
      </c>
      <c r="L42" s="153"/>
    </row>
    <row r="43" spans="2:12" s="16" customFormat="1" ht="15.75">
      <c r="B43" s="79"/>
      <c r="C43" s="79"/>
      <c r="D43" s="79"/>
      <c r="E43" s="79"/>
      <c r="F43" s="146" t="s">
        <v>189</v>
      </c>
      <c r="G43" s="146"/>
      <c r="H43" s="152">
        <v>180000</v>
      </c>
      <c r="I43" s="152">
        <v>180000</v>
      </c>
      <c r="J43" s="148">
        <v>129358</v>
      </c>
      <c r="K43" s="145">
        <f t="shared" si="2"/>
        <v>0.7186555555555556</v>
      </c>
      <c r="L43" s="153"/>
    </row>
    <row r="44" spans="2:12" s="16" customFormat="1" ht="15.75">
      <c r="B44" s="79"/>
      <c r="C44" s="79"/>
      <c r="D44" s="79"/>
      <c r="E44" s="79"/>
      <c r="F44" s="146" t="s">
        <v>190</v>
      </c>
      <c r="G44" s="146"/>
      <c r="H44" s="152">
        <v>300000</v>
      </c>
      <c r="I44" s="152">
        <v>300000</v>
      </c>
      <c r="J44" s="152"/>
      <c r="K44" s="145">
        <f t="shared" si="2"/>
        <v>0</v>
      </c>
      <c r="L44" s="153"/>
    </row>
    <row r="45" spans="2:12" s="16" customFormat="1" ht="15.75">
      <c r="B45" s="79"/>
      <c r="C45" s="79"/>
      <c r="D45" s="79"/>
      <c r="E45" s="79"/>
      <c r="F45" s="146" t="s">
        <v>191</v>
      </c>
      <c r="G45" s="146"/>
      <c r="H45" s="152">
        <v>160000</v>
      </c>
      <c r="I45" s="152">
        <v>160000</v>
      </c>
      <c r="J45" s="152"/>
      <c r="K45" s="145">
        <f t="shared" si="2"/>
        <v>0</v>
      </c>
      <c r="L45" s="153"/>
    </row>
    <row r="46" spans="2:11" s="16" customFormat="1" ht="15.75">
      <c r="B46" s="79" t="s">
        <v>192</v>
      </c>
      <c r="C46" s="79"/>
      <c r="D46" s="79" t="s">
        <v>193</v>
      </c>
      <c r="E46" s="146"/>
      <c r="F46" s="146"/>
      <c r="G46" s="88"/>
      <c r="H46" s="88"/>
      <c r="I46" s="16">
        <f>SUM(I47)</f>
        <v>22000</v>
      </c>
      <c r="J46" s="88">
        <f>J47</f>
        <v>21300</v>
      </c>
      <c r="K46" s="145">
        <f t="shared" si="2"/>
        <v>0.9681818181818181</v>
      </c>
    </row>
    <row r="47" spans="2:12" s="16" customFormat="1" ht="15.75">
      <c r="B47" s="79"/>
      <c r="C47" s="79" t="s">
        <v>194</v>
      </c>
      <c r="D47" s="79" t="s">
        <v>195</v>
      </c>
      <c r="E47" s="146"/>
      <c r="F47" s="146"/>
      <c r="G47" s="101"/>
      <c r="H47" s="101"/>
      <c r="I47" s="59">
        <v>22000</v>
      </c>
      <c r="J47" s="101">
        <v>21300</v>
      </c>
      <c r="K47" s="145">
        <f t="shared" si="2"/>
        <v>0.9681818181818181</v>
      </c>
      <c r="L47" s="59"/>
    </row>
    <row r="48" spans="2:12" s="16" customFormat="1" ht="15.75">
      <c r="B48" s="79" t="s">
        <v>196</v>
      </c>
      <c r="C48" s="79"/>
      <c r="D48" s="79" t="s">
        <v>197</v>
      </c>
      <c r="E48" s="79"/>
      <c r="F48" s="146"/>
      <c r="G48" s="146"/>
      <c r="H48" s="147">
        <f>SUM(H49:H50)</f>
        <v>266000</v>
      </c>
      <c r="I48" s="147">
        <f>SUM(I49:I50)</f>
        <v>275000</v>
      </c>
      <c r="J48" s="147">
        <f>SUM(J49:J50)</f>
        <v>171581</v>
      </c>
      <c r="K48" s="145">
        <f t="shared" si="2"/>
        <v>0.6239309090909091</v>
      </c>
      <c r="L48" s="85"/>
    </row>
    <row r="49" spans="2:12" s="16" customFormat="1" ht="15.75">
      <c r="B49" s="79"/>
      <c r="C49" s="79" t="s">
        <v>198</v>
      </c>
      <c r="D49" s="79" t="s">
        <v>199</v>
      </c>
      <c r="E49" s="79"/>
      <c r="F49" s="146"/>
      <c r="G49" s="146"/>
      <c r="H49" s="148">
        <v>265000</v>
      </c>
      <c r="I49" s="148">
        <v>265000</v>
      </c>
      <c r="J49" s="148">
        <v>165487</v>
      </c>
      <c r="K49" s="145">
        <f t="shared" si="2"/>
        <v>0.6244792452830189</v>
      </c>
      <c r="L49" s="86"/>
    </row>
    <row r="50" spans="2:12" s="16" customFormat="1" ht="15.75">
      <c r="B50" s="79"/>
      <c r="C50" s="79" t="s">
        <v>200</v>
      </c>
      <c r="D50" s="79" t="s">
        <v>201</v>
      </c>
      <c r="E50" s="79"/>
      <c r="F50" s="146"/>
      <c r="G50" s="146"/>
      <c r="H50" s="148">
        <v>1000</v>
      </c>
      <c r="I50" s="148">
        <v>10000</v>
      </c>
      <c r="J50" s="148">
        <v>6094</v>
      </c>
      <c r="K50" s="145">
        <f t="shared" si="2"/>
        <v>0.6094</v>
      </c>
      <c r="L50" s="86"/>
    </row>
    <row r="51" spans="1:12" s="52" customFormat="1" ht="15.75">
      <c r="A51" s="52" t="s">
        <v>34</v>
      </c>
      <c r="B51" s="53" t="s">
        <v>35</v>
      </c>
      <c r="C51" s="53"/>
      <c r="D51" s="53"/>
      <c r="E51" s="53"/>
      <c r="F51" s="149"/>
      <c r="G51" s="143"/>
      <c r="H51" s="144">
        <f>SUM(H52+H57+H56)</f>
        <v>13105000</v>
      </c>
      <c r="I51" s="144">
        <f>SUM(I52+I57+I56)</f>
        <v>17833062</v>
      </c>
      <c r="J51" s="144">
        <f>SUM(J52+J57+J56)</f>
        <v>3764528</v>
      </c>
      <c r="K51" s="145">
        <f t="shared" si="2"/>
        <v>0.21109823988723866</v>
      </c>
      <c r="L51" s="84"/>
    </row>
    <row r="52" spans="2:12" s="16" customFormat="1" ht="15.75">
      <c r="B52" s="79"/>
      <c r="C52" s="79" t="s">
        <v>202</v>
      </c>
      <c r="D52" s="79" t="s">
        <v>203</v>
      </c>
      <c r="E52" s="79"/>
      <c r="F52" s="146"/>
      <c r="G52" s="146"/>
      <c r="H52" s="148">
        <f>SUM(H53:H55)</f>
        <v>3516000</v>
      </c>
      <c r="I52" s="148">
        <v>3800000</v>
      </c>
      <c r="J52" s="148">
        <v>3764528</v>
      </c>
      <c r="K52" s="145">
        <f t="shared" si="2"/>
        <v>0.9906652631578947</v>
      </c>
      <c r="L52" s="86"/>
    </row>
    <row r="53" spans="2:12" s="16" customFormat="1" ht="31.5" customHeight="1">
      <c r="B53" s="79"/>
      <c r="C53" s="79"/>
      <c r="D53" s="79"/>
      <c r="E53" s="79"/>
      <c r="F53" s="155" t="s">
        <v>204</v>
      </c>
      <c r="G53" s="155"/>
      <c r="H53" s="156">
        <v>3202000</v>
      </c>
      <c r="I53" s="156"/>
      <c r="J53" s="156"/>
      <c r="K53" s="145"/>
      <c r="L53" s="157"/>
    </row>
    <row r="54" spans="2:12" s="16" customFormat="1" ht="16.5" customHeight="1">
      <c r="B54" s="79"/>
      <c r="C54" s="79"/>
      <c r="D54" s="79"/>
      <c r="E54" s="79"/>
      <c r="F54" s="155" t="s">
        <v>205</v>
      </c>
      <c r="G54" s="155"/>
      <c r="H54" s="156">
        <v>144000</v>
      </c>
      <c r="I54" s="156"/>
      <c r="J54" s="156"/>
      <c r="K54" s="145"/>
      <c r="L54" s="157"/>
    </row>
    <row r="55" spans="2:12" s="16" customFormat="1" ht="15.75">
      <c r="B55" s="79"/>
      <c r="C55" s="79"/>
      <c r="D55" s="79"/>
      <c r="E55" s="79"/>
      <c r="F55" s="146" t="s">
        <v>206</v>
      </c>
      <c r="G55" s="158"/>
      <c r="H55" s="152">
        <v>170000</v>
      </c>
      <c r="I55" s="152"/>
      <c r="J55" s="152"/>
      <c r="K55" s="145"/>
      <c r="L55" s="153"/>
    </row>
    <row r="56" spans="2:12" s="16" customFormat="1" ht="15.75">
      <c r="B56" s="79"/>
      <c r="C56" s="79" t="s">
        <v>207</v>
      </c>
      <c r="D56" s="79" t="s">
        <v>208</v>
      </c>
      <c r="E56" s="79"/>
      <c r="F56" s="146"/>
      <c r="G56" s="158"/>
      <c r="H56" s="152">
        <v>150000</v>
      </c>
      <c r="I56" s="152"/>
      <c r="J56" s="148">
        <v>0</v>
      </c>
      <c r="K56" s="145"/>
      <c r="L56" s="153"/>
    </row>
    <row r="57" spans="2:12" s="16" customFormat="1" ht="15.75">
      <c r="B57" s="79"/>
      <c r="C57" s="79" t="s">
        <v>209</v>
      </c>
      <c r="D57" s="79" t="s">
        <v>210</v>
      </c>
      <c r="E57" s="79"/>
      <c r="F57" s="146"/>
      <c r="G57" s="146"/>
      <c r="H57" s="152">
        <v>9439000</v>
      </c>
      <c r="I57" s="152">
        <v>14033062</v>
      </c>
      <c r="J57" s="148">
        <v>0</v>
      </c>
      <c r="K57" s="145">
        <f>J57/I57</f>
        <v>0</v>
      </c>
      <c r="L57" s="159"/>
    </row>
    <row r="58" spans="1:12" s="52" customFormat="1" ht="33" customHeight="1">
      <c r="A58" s="67" t="s">
        <v>114</v>
      </c>
      <c r="B58" s="82"/>
      <c r="C58" s="82"/>
      <c r="D58" s="82"/>
      <c r="E58" s="82"/>
      <c r="F58" s="160"/>
      <c r="G58" s="160"/>
      <c r="H58" s="161">
        <f>SUM(H59)</f>
        <v>3450000</v>
      </c>
      <c r="I58" s="161">
        <f>SUM(I59)</f>
        <v>1500000</v>
      </c>
      <c r="J58" s="161">
        <f>J59</f>
        <v>1237663</v>
      </c>
      <c r="K58" s="162">
        <f>J58/I58</f>
        <v>0.8251086666666667</v>
      </c>
      <c r="L58" s="84"/>
    </row>
    <row r="59" spans="1:12" s="52" customFormat="1" ht="15.75">
      <c r="A59" s="52" t="s">
        <v>41</v>
      </c>
      <c r="B59" s="78" t="s">
        <v>42</v>
      </c>
      <c r="C59" s="78"/>
      <c r="D59" s="78"/>
      <c r="E59" s="78"/>
      <c r="F59" s="143"/>
      <c r="G59" s="143"/>
      <c r="H59" s="144">
        <f>SUM(H60)</f>
        <v>3450000</v>
      </c>
      <c r="I59" s="144">
        <f>SUM(I60)</f>
        <v>1500000</v>
      </c>
      <c r="J59" s="144">
        <v>1237663</v>
      </c>
      <c r="K59" s="145">
        <f>J59/I59</f>
        <v>0.8251086666666667</v>
      </c>
      <c r="L59" s="84"/>
    </row>
    <row r="60" spans="2:12" s="16" customFormat="1" ht="15.75">
      <c r="B60" s="79"/>
      <c r="C60" s="79" t="s">
        <v>211</v>
      </c>
      <c r="D60" s="79" t="s">
        <v>212</v>
      </c>
      <c r="E60" s="79"/>
      <c r="F60" s="146"/>
      <c r="G60" s="146"/>
      <c r="H60" s="152">
        <v>3450000</v>
      </c>
      <c r="I60" s="152">
        <v>1500000</v>
      </c>
      <c r="J60" s="152">
        <v>1237663</v>
      </c>
      <c r="K60" s="163">
        <f>J60/I60</f>
        <v>0.8251086666666667</v>
      </c>
      <c r="L60" s="153"/>
    </row>
    <row r="61" spans="1:12" s="16" customFormat="1" ht="32.25" customHeight="1">
      <c r="A61" s="473" t="s">
        <v>60</v>
      </c>
      <c r="B61" s="473"/>
      <c r="C61" s="473"/>
      <c r="D61" s="473"/>
      <c r="E61" s="473"/>
      <c r="F61" s="473"/>
      <c r="G61" s="165"/>
      <c r="H61" s="161">
        <f>SUM(H64)</f>
        <v>20632000</v>
      </c>
      <c r="I61" s="161">
        <f>SUM(I62,I64)</f>
        <v>25876849</v>
      </c>
      <c r="J61" s="161">
        <f>J64+J62</f>
        <v>25354574</v>
      </c>
      <c r="K61" s="162">
        <f>J61/I61</f>
        <v>0.9798169011999877</v>
      </c>
      <c r="L61" s="166"/>
    </row>
    <row r="62" spans="1:12" s="16" customFormat="1" ht="15" customHeight="1">
      <c r="A62" s="52" t="s">
        <v>34</v>
      </c>
      <c r="B62" s="53" t="s">
        <v>35</v>
      </c>
      <c r="C62" s="53"/>
      <c r="D62" s="53"/>
      <c r="E62" s="53"/>
      <c r="F62" s="149"/>
      <c r="G62" s="167"/>
      <c r="H62" s="144"/>
      <c r="I62" s="144">
        <f>I63</f>
        <v>864755</v>
      </c>
      <c r="J62" s="144">
        <f>J63</f>
        <v>864755</v>
      </c>
      <c r="K62" s="145"/>
      <c r="L62" s="166"/>
    </row>
    <row r="63" spans="2:12" s="16" customFormat="1" ht="15" customHeight="1">
      <c r="B63" s="79"/>
      <c r="C63" s="79" t="s">
        <v>202</v>
      </c>
      <c r="D63" s="79" t="s">
        <v>203</v>
      </c>
      <c r="E63" s="79"/>
      <c r="F63" s="146"/>
      <c r="G63" s="167"/>
      <c r="H63" s="144"/>
      <c r="I63" s="148">
        <v>864755</v>
      </c>
      <c r="J63" s="148">
        <v>864755</v>
      </c>
      <c r="K63" s="145"/>
      <c r="L63" s="166"/>
    </row>
    <row r="64" spans="1:12" s="52" customFormat="1" ht="15.75">
      <c r="A64" s="52" t="s">
        <v>41</v>
      </c>
      <c r="B64" s="53" t="s">
        <v>42</v>
      </c>
      <c r="C64" s="53"/>
      <c r="D64" s="53"/>
      <c r="E64" s="53"/>
      <c r="F64" s="149"/>
      <c r="G64" s="143"/>
      <c r="H64" s="144">
        <f>SUM(H65)</f>
        <v>20632000</v>
      </c>
      <c r="I64" s="144">
        <f>SUM(I65)</f>
        <v>25012094</v>
      </c>
      <c r="J64" s="144">
        <f>J65</f>
        <v>24489819</v>
      </c>
      <c r="K64" s="145">
        <f aca="true" t="shared" si="3" ref="K64:K103">J64/I64</f>
        <v>0.9791191013435341</v>
      </c>
      <c r="L64" s="84"/>
    </row>
    <row r="65" spans="2:12" s="16" customFormat="1" ht="15.75">
      <c r="B65" s="79" t="s">
        <v>213</v>
      </c>
      <c r="C65" s="79" t="s">
        <v>214</v>
      </c>
      <c r="D65" s="79"/>
      <c r="E65" s="79"/>
      <c r="F65" s="146"/>
      <c r="G65" s="146"/>
      <c r="H65" s="148">
        <f>SUM(H66)</f>
        <v>20632000</v>
      </c>
      <c r="I65" s="148">
        <f>SUM(I66)</f>
        <v>25012094</v>
      </c>
      <c r="J65" s="148">
        <f>J66</f>
        <v>24489819</v>
      </c>
      <c r="K65" s="145">
        <f t="shared" si="3"/>
        <v>0.9791191013435341</v>
      </c>
      <c r="L65" s="86"/>
    </row>
    <row r="66" spans="1:12" s="16" customFormat="1" ht="15.75">
      <c r="A66" s="26"/>
      <c r="B66" s="168"/>
      <c r="C66" s="168" t="s">
        <v>215</v>
      </c>
      <c r="D66" s="168" t="s">
        <v>216</v>
      </c>
      <c r="E66" s="168"/>
      <c r="F66" s="146"/>
      <c r="G66" s="146"/>
      <c r="H66" s="152">
        <v>20632000</v>
      </c>
      <c r="I66" s="152">
        <v>25012094</v>
      </c>
      <c r="J66" s="152">
        <v>24489819</v>
      </c>
      <c r="K66" s="145">
        <f t="shared" si="3"/>
        <v>0.9791191013435341</v>
      </c>
      <c r="L66" s="153"/>
    </row>
    <row r="67" spans="1:12" s="16" customFormat="1" ht="32.25" customHeight="1">
      <c r="A67" s="473" t="s">
        <v>115</v>
      </c>
      <c r="B67" s="473"/>
      <c r="C67" s="473"/>
      <c r="D67" s="473"/>
      <c r="E67" s="473"/>
      <c r="F67" s="473"/>
      <c r="G67" s="140"/>
      <c r="H67" s="161">
        <f>SUM(H73+H90+H68+H71+H87)</f>
        <v>11062000</v>
      </c>
      <c r="I67" s="161">
        <f>SUM(I73+I90+I68+I71+I87)</f>
        <v>12129000</v>
      </c>
      <c r="J67" s="161">
        <f>SUM(J73+J90+J68+J71+J87)</f>
        <v>8494887</v>
      </c>
      <c r="K67" s="162">
        <f t="shared" si="3"/>
        <v>0.7003781845164482</v>
      </c>
      <c r="L67" s="84"/>
    </row>
    <row r="68" spans="1:12" s="52" customFormat="1" ht="15.75">
      <c r="A68" s="52" t="s">
        <v>26</v>
      </c>
      <c r="B68" s="78" t="s">
        <v>141</v>
      </c>
      <c r="C68" s="78"/>
      <c r="D68" s="78"/>
      <c r="E68" s="78"/>
      <c r="F68" s="143"/>
      <c r="G68" s="143"/>
      <c r="H68" s="144">
        <f>SUM(H69)</f>
        <v>20000</v>
      </c>
      <c r="I68" s="144">
        <f>SUM(I69)</f>
        <v>20000</v>
      </c>
      <c r="J68" s="144">
        <v>0</v>
      </c>
      <c r="K68" s="145">
        <f t="shared" si="3"/>
        <v>0</v>
      </c>
      <c r="L68" s="84"/>
    </row>
    <row r="69" spans="2:12" s="16" customFormat="1" ht="15.75">
      <c r="B69" s="79" t="s">
        <v>150</v>
      </c>
      <c r="C69" s="79"/>
      <c r="D69" s="79" t="s">
        <v>151</v>
      </c>
      <c r="E69" s="79"/>
      <c r="F69" s="146"/>
      <c r="G69" s="146"/>
      <c r="H69" s="147">
        <f>SUM(H70)</f>
        <v>20000</v>
      </c>
      <c r="I69" s="147">
        <f>SUM(I70)</f>
        <v>20000</v>
      </c>
      <c r="J69" s="147"/>
      <c r="K69" s="145">
        <f t="shared" si="3"/>
        <v>0</v>
      </c>
      <c r="L69" s="85"/>
    </row>
    <row r="70" spans="2:12" s="16" customFormat="1" ht="15.75">
      <c r="B70" s="79"/>
      <c r="C70" s="79" t="s">
        <v>217</v>
      </c>
      <c r="D70" s="79" t="s">
        <v>218</v>
      </c>
      <c r="E70" s="79"/>
      <c r="F70" s="146"/>
      <c r="G70" s="146"/>
      <c r="H70" s="148">
        <v>20000</v>
      </c>
      <c r="I70" s="148">
        <v>20000</v>
      </c>
      <c r="J70" s="148"/>
      <c r="K70" s="145">
        <f t="shared" si="3"/>
        <v>0</v>
      </c>
      <c r="L70" s="86"/>
    </row>
    <row r="71" spans="1:12" s="52" customFormat="1" ht="15.75" customHeight="1">
      <c r="A71" s="52" t="s">
        <v>28</v>
      </c>
      <c r="B71" s="53" t="s">
        <v>155</v>
      </c>
      <c r="C71" s="53"/>
      <c r="D71" s="53"/>
      <c r="E71" s="53"/>
      <c r="F71" s="149"/>
      <c r="G71" s="150"/>
      <c r="H71" s="144">
        <f>SUM(H72)</f>
        <v>5000</v>
      </c>
      <c r="I71" s="144">
        <f>SUM(I72)</f>
        <v>4000</v>
      </c>
      <c r="J71" s="144"/>
      <c r="K71" s="145">
        <f t="shared" si="3"/>
        <v>0</v>
      </c>
      <c r="L71" s="84"/>
    </row>
    <row r="72" spans="2:12" s="16" customFormat="1" ht="15.75">
      <c r="B72" s="79"/>
      <c r="C72" s="79"/>
      <c r="D72" s="79" t="s">
        <v>219</v>
      </c>
      <c r="E72" s="79"/>
      <c r="F72" s="146"/>
      <c r="G72" s="146"/>
      <c r="H72" s="148">
        <v>5000</v>
      </c>
      <c r="I72" s="148">
        <v>4000</v>
      </c>
      <c r="J72" s="148"/>
      <c r="K72" s="145">
        <f t="shared" si="3"/>
        <v>0</v>
      </c>
      <c r="L72" s="86"/>
    </row>
    <row r="73" spans="1:12" s="52" customFormat="1" ht="15.75">
      <c r="A73" s="52" t="s">
        <v>30</v>
      </c>
      <c r="B73" s="53" t="s">
        <v>31</v>
      </c>
      <c r="C73" s="53"/>
      <c r="D73" s="53"/>
      <c r="E73" s="53"/>
      <c r="F73" s="149"/>
      <c r="G73" s="143"/>
      <c r="H73" s="169">
        <f>SUM(H74+H78+H85)</f>
        <v>4175000</v>
      </c>
      <c r="I73" s="169">
        <f>SUM(I74+I78+I85)</f>
        <v>4405000</v>
      </c>
      <c r="J73" s="169">
        <f>SUM(J74+J78+J85)</f>
        <v>1634987</v>
      </c>
      <c r="K73" s="145">
        <f t="shared" si="3"/>
        <v>0.3711661748013621</v>
      </c>
      <c r="L73" s="170"/>
    </row>
    <row r="74" spans="2:12" s="16" customFormat="1" ht="15.75">
      <c r="B74" s="79" t="s">
        <v>157</v>
      </c>
      <c r="C74" s="79"/>
      <c r="D74" s="79" t="s">
        <v>158</v>
      </c>
      <c r="E74" s="79"/>
      <c r="F74" s="151"/>
      <c r="G74" s="151"/>
      <c r="H74" s="171">
        <f>SUM(H75)</f>
        <v>1000000</v>
      </c>
      <c r="I74" s="171">
        <f>SUM(I75)</f>
        <v>1000000</v>
      </c>
      <c r="J74" s="171">
        <f>J75</f>
        <v>552665</v>
      </c>
      <c r="K74" s="145">
        <f t="shared" si="3"/>
        <v>0.552665</v>
      </c>
      <c r="L74" s="172"/>
    </row>
    <row r="75" spans="2:12" s="16" customFormat="1" ht="15.75">
      <c r="B75" s="79"/>
      <c r="C75" s="79" t="s">
        <v>162</v>
      </c>
      <c r="D75" s="79" t="s">
        <v>163</v>
      </c>
      <c r="E75" s="79"/>
      <c r="F75" s="146"/>
      <c r="G75" s="146"/>
      <c r="H75" s="148">
        <f>SUM(H76:H77)</f>
        <v>1000000</v>
      </c>
      <c r="I75" s="148">
        <f>SUM(I76:I77)</f>
        <v>1000000</v>
      </c>
      <c r="J75" s="148">
        <v>552665</v>
      </c>
      <c r="K75" s="145">
        <f t="shared" si="3"/>
        <v>0.552665</v>
      </c>
      <c r="L75" s="86"/>
    </row>
    <row r="76" spans="1:12" s="16" customFormat="1" ht="15.75">
      <c r="A76" s="52"/>
      <c r="B76" s="78"/>
      <c r="C76" s="78"/>
      <c r="D76" s="154"/>
      <c r="E76" s="154"/>
      <c r="F76" s="146" t="s">
        <v>220</v>
      </c>
      <c r="G76" s="146"/>
      <c r="H76" s="152">
        <v>100000</v>
      </c>
      <c r="I76" s="152">
        <v>100000</v>
      </c>
      <c r="J76" s="152"/>
      <c r="K76" s="145">
        <f t="shared" si="3"/>
        <v>0</v>
      </c>
      <c r="L76" s="153"/>
    </row>
    <row r="77" spans="1:12" s="16" customFormat="1" ht="15.75">
      <c r="A77" s="52"/>
      <c r="B77" s="78"/>
      <c r="C77" s="78"/>
      <c r="D77" s="154"/>
      <c r="E77" s="154"/>
      <c r="F77" s="146" t="s">
        <v>166</v>
      </c>
      <c r="G77" s="146"/>
      <c r="H77" s="152">
        <v>900000</v>
      </c>
      <c r="I77" s="152">
        <v>900000</v>
      </c>
      <c r="J77" s="152"/>
      <c r="K77" s="145">
        <f t="shared" si="3"/>
        <v>0</v>
      </c>
      <c r="L77" s="153"/>
    </row>
    <row r="78" spans="2:12" s="16" customFormat="1" ht="15.75">
      <c r="B78" s="79" t="s">
        <v>177</v>
      </c>
      <c r="C78" s="79"/>
      <c r="D78" s="79" t="s">
        <v>178</v>
      </c>
      <c r="E78" s="79"/>
      <c r="F78" s="146"/>
      <c r="G78" s="146"/>
      <c r="H78" s="171">
        <f>SUM(H79+H82+H83)</f>
        <v>2775000</v>
      </c>
      <c r="I78" s="171">
        <f>SUM(I79+I82+I83)</f>
        <v>3005000</v>
      </c>
      <c r="J78" s="171">
        <f>J79+J82+J83</f>
        <v>781533</v>
      </c>
      <c r="K78" s="145">
        <f t="shared" si="3"/>
        <v>0.260077537437604</v>
      </c>
      <c r="L78" s="172"/>
    </row>
    <row r="79" spans="2:12" s="16" customFormat="1" ht="15.75">
      <c r="B79" s="79"/>
      <c r="C79" s="79" t="s">
        <v>179</v>
      </c>
      <c r="D79" s="79" t="s">
        <v>180</v>
      </c>
      <c r="E79" s="79"/>
      <c r="F79" s="146"/>
      <c r="G79" s="146"/>
      <c r="H79" s="148">
        <f>SUM(H80:H81)</f>
        <v>55000</v>
      </c>
      <c r="I79" s="148">
        <f>SUM(I80:I81)</f>
        <v>55000</v>
      </c>
      <c r="J79" s="148">
        <v>16256</v>
      </c>
      <c r="K79" s="145">
        <f t="shared" si="3"/>
        <v>0.29556363636363636</v>
      </c>
      <c r="L79" s="86"/>
    </row>
    <row r="80" spans="2:12" s="16" customFormat="1" ht="15.75">
      <c r="B80" s="79"/>
      <c r="C80" s="79"/>
      <c r="D80" s="79"/>
      <c r="E80" s="79"/>
      <c r="F80" s="146" t="s">
        <v>181</v>
      </c>
      <c r="G80" s="146"/>
      <c r="H80" s="152">
        <v>15000</v>
      </c>
      <c r="I80" s="152">
        <v>15000</v>
      </c>
      <c r="J80" s="152"/>
      <c r="K80" s="145">
        <f t="shared" si="3"/>
        <v>0</v>
      </c>
      <c r="L80" s="153"/>
    </row>
    <row r="81" spans="2:12" s="16" customFormat="1" ht="15.75">
      <c r="B81" s="79"/>
      <c r="C81" s="79"/>
      <c r="D81" s="79"/>
      <c r="E81" s="79"/>
      <c r="F81" s="146" t="s">
        <v>183</v>
      </c>
      <c r="G81" s="146"/>
      <c r="H81" s="152">
        <v>40000</v>
      </c>
      <c r="I81" s="152">
        <v>40000</v>
      </c>
      <c r="J81" s="152"/>
      <c r="K81" s="145">
        <f t="shared" si="3"/>
        <v>0</v>
      </c>
      <c r="L81" s="153"/>
    </row>
    <row r="82" spans="2:12" s="16" customFormat="1" ht="15.75">
      <c r="B82" s="79"/>
      <c r="C82" s="79" t="s">
        <v>184</v>
      </c>
      <c r="D82" s="79" t="s">
        <v>185</v>
      </c>
      <c r="E82" s="79"/>
      <c r="F82" s="146"/>
      <c r="G82" s="146"/>
      <c r="H82" s="152">
        <v>2500000</v>
      </c>
      <c r="I82" s="152">
        <v>2500000</v>
      </c>
      <c r="J82" s="148">
        <v>320300</v>
      </c>
      <c r="K82" s="145">
        <f t="shared" si="3"/>
        <v>0.12812</v>
      </c>
      <c r="L82" s="153"/>
    </row>
    <row r="83" spans="2:12" s="16" customFormat="1" ht="15.75">
      <c r="B83" s="79"/>
      <c r="C83" s="79" t="s">
        <v>186</v>
      </c>
      <c r="D83" s="79" t="s">
        <v>187</v>
      </c>
      <c r="E83" s="79"/>
      <c r="F83" s="146"/>
      <c r="G83" s="146"/>
      <c r="H83" s="148">
        <f>SUM(H84)</f>
        <v>220000</v>
      </c>
      <c r="I83" s="148">
        <f>SUM(I84)</f>
        <v>450000</v>
      </c>
      <c r="J83" s="148">
        <v>444977</v>
      </c>
      <c r="K83" s="145">
        <f t="shared" si="3"/>
        <v>0.9888377777777778</v>
      </c>
      <c r="L83" s="86"/>
    </row>
    <row r="84" spans="2:12" s="16" customFormat="1" ht="15.75">
      <c r="B84" s="79"/>
      <c r="C84" s="79"/>
      <c r="D84" s="79"/>
      <c r="E84" s="79"/>
      <c r="F84" s="146" t="s">
        <v>191</v>
      </c>
      <c r="G84" s="146"/>
      <c r="H84" s="152">
        <v>220000</v>
      </c>
      <c r="I84" s="152">
        <v>450000</v>
      </c>
      <c r="J84" s="152">
        <v>444977</v>
      </c>
      <c r="K84" s="145">
        <f t="shared" si="3"/>
        <v>0.9888377777777778</v>
      </c>
      <c r="L84" s="153"/>
    </row>
    <row r="85" spans="2:12" s="16" customFormat="1" ht="15.75">
      <c r="B85" s="79" t="s">
        <v>196</v>
      </c>
      <c r="C85" s="79"/>
      <c r="D85" s="79" t="s">
        <v>197</v>
      </c>
      <c r="E85" s="79"/>
      <c r="F85" s="146"/>
      <c r="G85" s="146"/>
      <c r="H85" s="171">
        <f>SUM(H86)</f>
        <v>400000</v>
      </c>
      <c r="I85" s="171">
        <f>SUM(I86)</f>
        <v>400000</v>
      </c>
      <c r="J85" s="173">
        <f>J86</f>
        <v>300789</v>
      </c>
      <c r="K85" s="145">
        <f t="shared" si="3"/>
        <v>0.7519725</v>
      </c>
      <c r="L85" s="172"/>
    </row>
    <row r="86" spans="2:12" s="16" customFormat="1" ht="15.75">
      <c r="B86" s="79"/>
      <c r="C86" s="79" t="s">
        <v>198</v>
      </c>
      <c r="D86" s="79" t="s">
        <v>199</v>
      </c>
      <c r="E86" s="79"/>
      <c r="F86" s="146"/>
      <c r="G86" s="146"/>
      <c r="H86" s="152">
        <v>400000</v>
      </c>
      <c r="I86" s="152">
        <v>400000</v>
      </c>
      <c r="J86" s="152">
        <v>300789</v>
      </c>
      <c r="K86" s="145">
        <f t="shared" si="3"/>
        <v>0.7519725</v>
      </c>
      <c r="L86" s="153"/>
    </row>
    <row r="87" spans="1:12" s="16" customFormat="1" ht="15.75">
      <c r="A87" s="52" t="s">
        <v>37</v>
      </c>
      <c r="B87" s="78" t="s">
        <v>38</v>
      </c>
      <c r="C87" s="79"/>
      <c r="D87" s="79"/>
      <c r="E87" s="79"/>
      <c r="F87" s="146"/>
      <c r="G87" s="146"/>
      <c r="H87" s="144">
        <f>SUM(H88:H89)</f>
        <v>750000</v>
      </c>
      <c r="I87" s="144">
        <f>SUM(I88:I89)</f>
        <v>750000</v>
      </c>
      <c r="J87" s="144">
        <v>0</v>
      </c>
      <c r="K87" s="145">
        <f t="shared" si="3"/>
        <v>0</v>
      </c>
      <c r="L87" s="84"/>
    </row>
    <row r="88" spans="2:12" s="16" customFormat="1" ht="15.75">
      <c r="B88" s="79" t="s">
        <v>221</v>
      </c>
      <c r="C88" s="79" t="s">
        <v>222</v>
      </c>
      <c r="D88" s="79"/>
      <c r="E88" s="79"/>
      <c r="F88" s="146"/>
      <c r="G88" s="146"/>
      <c r="H88" s="148">
        <v>590000</v>
      </c>
      <c r="I88" s="148">
        <v>590000</v>
      </c>
      <c r="J88" s="148"/>
      <c r="K88" s="145">
        <f t="shared" si="3"/>
        <v>0</v>
      </c>
      <c r="L88" s="86"/>
    </row>
    <row r="89" spans="2:12" s="16" customFormat="1" ht="15.75">
      <c r="B89" s="79" t="s">
        <v>223</v>
      </c>
      <c r="C89" s="79" t="s">
        <v>224</v>
      </c>
      <c r="D89" s="79"/>
      <c r="E89" s="79"/>
      <c r="F89" s="146"/>
      <c r="G89" s="146"/>
      <c r="H89" s="148">
        <v>160000</v>
      </c>
      <c r="I89" s="148">
        <v>160000</v>
      </c>
      <c r="J89" s="148"/>
      <c r="K89" s="145">
        <f t="shared" si="3"/>
        <v>0</v>
      </c>
      <c r="L89" s="86"/>
    </row>
    <row r="90" spans="1:12" s="52" customFormat="1" ht="15.75">
      <c r="A90" s="52" t="s">
        <v>39</v>
      </c>
      <c r="B90" s="53" t="s">
        <v>40</v>
      </c>
      <c r="C90" s="53"/>
      <c r="D90" s="53"/>
      <c r="E90" s="53"/>
      <c r="F90" s="149"/>
      <c r="G90" s="174"/>
      <c r="H90" s="144">
        <f>SUM(H91:H92)</f>
        <v>6112000</v>
      </c>
      <c r="I90" s="144">
        <f>SUM(I91:I92)</f>
        <v>6950000</v>
      </c>
      <c r="J90" s="144">
        <f>J91+J92</f>
        <v>6859900</v>
      </c>
      <c r="K90" s="145">
        <f t="shared" si="3"/>
        <v>0.9870359712230216</v>
      </c>
      <c r="L90" s="84"/>
    </row>
    <row r="91" spans="2:12" s="16" customFormat="1" ht="15.75">
      <c r="B91" s="79" t="s">
        <v>225</v>
      </c>
      <c r="C91" s="79"/>
      <c r="D91" s="79" t="s">
        <v>226</v>
      </c>
      <c r="E91" s="79"/>
      <c r="F91" s="146"/>
      <c r="G91" s="102"/>
      <c r="H91" s="148">
        <v>4812000</v>
      </c>
      <c r="I91" s="148">
        <v>6200000</v>
      </c>
      <c r="J91" s="148">
        <v>6114221</v>
      </c>
      <c r="K91" s="145">
        <f t="shared" si="3"/>
        <v>0.9861646774193549</v>
      </c>
      <c r="L91" s="86"/>
    </row>
    <row r="92" spans="2:12" s="16" customFormat="1" ht="15.75">
      <c r="B92" s="79" t="s">
        <v>227</v>
      </c>
      <c r="C92" s="79"/>
      <c r="D92" s="79" t="s">
        <v>228</v>
      </c>
      <c r="E92" s="79"/>
      <c r="F92" s="146"/>
      <c r="G92" s="102"/>
      <c r="H92" s="148">
        <v>1300000</v>
      </c>
      <c r="I92" s="148">
        <v>750000</v>
      </c>
      <c r="J92" s="148">
        <v>745679</v>
      </c>
      <c r="K92" s="145">
        <f t="shared" si="3"/>
        <v>0.9942386666666667</v>
      </c>
      <c r="L92" s="86"/>
    </row>
    <row r="93" spans="1:12" s="52" customFormat="1" ht="30" customHeight="1">
      <c r="A93" s="67" t="s">
        <v>229</v>
      </c>
      <c r="B93" s="82"/>
      <c r="C93" s="82"/>
      <c r="D93" s="82"/>
      <c r="E93" s="82"/>
      <c r="F93" s="160"/>
      <c r="G93" s="160"/>
      <c r="H93" s="161">
        <f aca="true" t="shared" si="4" ref="H93:I95">SUM(H94)</f>
        <v>361000</v>
      </c>
      <c r="I93" s="161">
        <f t="shared" si="4"/>
        <v>300000</v>
      </c>
      <c r="J93" s="161">
        <f>J94</f>
        <v>292848</v>
      </c>
      <c r="K93" s="162">
        <f t="shared" si="3"/>
        <v>0.97616</v>
      </c>
      <c r="L93" s="84"/>
    </row>
    <row r="94" spans="1:12" s="52" customFormat="1" ht="15.75">
      <c r="A94" s="52" t="s">
        <v>34</v>
      </c>
      <c r="B94" s="53" t="s">
        <v>35</v>
      </c>
      <c r="C94" s="53"/>
      <c r="D94" s="53"/>
      <c r="E94" s="53"/>
      <c r="F94" s="149"/>
      <c r="G94" s="143"/>
      <c r="H94" s="144">
        <f t="shared" si="4"/>
        <v>361000</v>
      </c>
      <c r="I94" s="144">
        <f t="shared" si="4"/>
        <v>300000</v>
      </c>
      <c r="J94" s="144">
        <f>J95</f>
        <v>292848</v>
      </c>
      <c r="K94" s="145">
        <f t="shared" si="3"/>
        <v>0.97616</v>
      </c>
      <c r="L94" s="84"/>
    </row>
    <row r="95" spans="2:12" s="16" customFormat="1" ht="15.75">
      <c r="B95" s="79"/>
      <c r="C95" s="79" t="s">
        <v>202</v>
      </c>
      <c r="D95" s="79" t="s">
        <v>203</v>
      </c>
      <c r="E95" s="79"/>
      <c r="F95" s="146"/>
      <c r="G95" s="146"/>
      <c r="H95" s="148">
        <f t="shared" si="4"/>
        <v>361000</v>
      </c>
      <c r="I95" s="148">
        <f t="shared" si="4"/>
        <v>300000</v>
      </c>
      <c r="J95" s="148">
        <f>J96</f>
        <v>292848</v>
      </c>
      <c r="K95" s="145">
        <f t="shared" si="3"/>
        <v>0.97616</v>
      </c>
      <c r="L95" s="86"/>
    </row>
    <row r="96" spans="2:12" s="16" customFormat="1" ht="15.75">
      <c r="B96" s="79"/>
      <c r="C96" s="79"/>
      <c r="D96" s="79"/>
      <c r="E96" s="79"/>
      <c r="F96" s="146" t="s">
        <v>206</v>
      </c>
      <c r="G96" s="146"/>
      <c r="H96" s="152">
        <v>361000</v>
      </c>
      <c r="I96" s="152">
        <v>300000</v>
      </c>
      <c r="J96" s="152">
        <v>292848</v>
      </c>
      <c r="K96" s="145">
        <f t="shared" si="3"/>
        <v>0.97616</v>
      </c>
      <c r="L96" s="153"/>
    </row>
    <row r="97" spans="1:12" s="16" customFormat="1" ht="32.25" customHeight="1">
      <c r="A97" s="473" t="s">
        <v>86</v>
      </c>
      <c r="B97" s="473"/>
      <c r="C97" s="473"/>
      <c r="D97" s="473"/>
      <c r="E97" s="473"/>
      <c r="F97" s="473"/>
      <c r="G97" s="140"/>
      <c r="H97" s="161">
        <f>SUM(H98,H111)</f>
        <v>1250000</v>
      </c>
      <c r="I97" s="161">
        <f>SUM(I98,I111)</f>
        <v>1250000</v>
      </c>
      <c r="J97" s="161">
        <f>SUM(J98,J111)</f>
        <v>14916</v>
      </c>
      <c r="K97" s="162">
        <f t="shared" si="3"/>
        <v>0.0119328</v>
      </c>
      <c r="L97" s="84"/>
    </row>
    <row r="98" spans="1:12" s="52" customFormat="1" ht="15.75">
      <c r="A98" s="52" t="s">
        <v>30</v>
      </c>
      <c r="B98" s="53" t="s">
        <v>31</v>
      </c>
      <c r="C98" s="53"/>
      <c r="D98" s="53"/>
      <c r="E98" s="53"/>
      <c r="F98" s="149"/>
      <c r="G98" s="143"/>
      <c r="H98" s="169">
        <f>SUM(H99+H102+H109)</f>
        <v>850000</v>
      </c>
      <c r="I98" s="169">
        <f>SUM(I99+I102+I109)</f>
        <v>850000</v>
      </c>
      <c r="J98" s="169">
        <v>14916</v>
      </c>
      <c r="K98" s="175">
        <f t="shared" si="3"/>
        <v>0.017548235294117646</v>
      </c>
      <c r="L98" s="170"/>
    </row>
    <row r="99" spans="2:12" s="16" customFormat="1" ht="15.75">
      <c r="B99" s="79" t="s">
        <v>157</v>
      </c>
      <c r="C99" s="79"/>
      <c r="D99" s="79" t="s">
        <v>158</v>
      </c>
      <c r="E99" s="79"/>
      <c r="F99" s="151"/>
      <c r="G99" s="151"/>
      <c r="H99" s="171">
        <f>SUM(H100)</f>
        <v>20000</v>
      </c>
      <c r="I99" s="171">
        <f>SUM(I100)</f>
        <v>20000</v>
      </c>
      <c r="J99" s="171">
        <v>0</v>
      </c>
      <c r="K99" s="175">
        <f t="shared" si="3"/>
        <v>0</v>
      </c>
      <c r="L99" s="172"/>
    </row>
    <row r="100" spans="2:12" s="16" customFormat="1" ht="15.75">
      <c r="B100" s="79"/>
      <c r="C100" s="79" t="s">
        <v>162</v>
      </c>
      <c r="D100" s="79" t="s">
        <v>163</v>
      </c>
      <c r="E100" s="79"/>
      <c r="F100" s="146"/>
      <c r="G100" s="146"/>
      <c r="H100" s="148">
        <f>SUM(H101)</f>
        <v>20000</v>
      </c>
      <c r="I100" s="148">
        <v>20000</v>
      </c>
      <c r="J100" s="148">
        <v>0</v>
      </c>
      <c r="K100" s="175">
        <f t="shared" si="3"/>
        <v>0</v>
      </c>
      <c r="L100" s="86"/>
    </row>
    <row r="101" spans="1:12" s="16" customFormat="1" ht="15.75">
      <c r="A101" s="52"/>
      <c r="B101" s="78"/>
      <c r="C101" s="78"/>
      <c r="D101" s="154"/>
      <c r="E101" s="154"/>
      <c r="F101" s="146" t="s">
        <v>166</v>
      </c>
      <c r="G101" s="146"/>
      <c r="H101" s="152">
        <v>20000</v>
      </c>
      <c r="I101" s="152">
        <v>20001</v>
      </c>
      <c r="J101" s="152"/>
      <c r="K101" s="175">
        <f t="shared" si="3"/>
        <v>0</v>
      </c>
      <c r="L101" s="153"/>
    </row>
    <row r="102" spans="2:12" s="16" customFormat="1" ht="15.75">
      <c r="B102" s="79" t="s">
        <v>177</v>
      </c>
      <c r="C102" s="79"/>
      <c r="D102" s="79" t="s">
        <v>178</v>
      </c>
      <c r="E102" s="79"/>
      <c r="F102" s="146"/>
      <c r="G102" s="146"/>
      <c r="H102" s="171">
        <f>SUM(H103+H106+H107)</f>
        <v>670000</v>
      </c>
      <c r="I102" s="171">
        <f>SUM(I103+I106+I107)</f>
        <v>670000</v>
      </c>
      <c r="J102" s="171">
        <v>11743</v>
      </c>
      <c r="K102" s="175">
        <f t="shared" si="3"/>
        <v>0.01752686567164179</v>
      </c>
      <c r="L102" s="172"/>
    </row>
    <row r="103" spans="2:12" s="16" customFormat="1" ht="15.75">
      <c r="B103" s="79"/>
      <c r="C103" s="79" t="s">
        <v>179</v>
      </c>
      <c r="D103" s="79" t="s">
        <v>180</v>
      </c>
      <c r="E103" s="79"/>
      <c r="F103" s="146"/>
      <c r="G103" s="146"/>
      <c r="H103" s="148">
        <f>SUM(H104:H105)</f>
        <v>20000</v>
      </c>
      <c r="I103" s="148">
        <f>SUM(I104:I105)</f>
        <v>20000</v>
      </c>
      <c r="J103" s="148">
        <v>11743</v>
      </c>
      <c r="K103" s="175">
        <f t="shared" si="3"/>
        <v>0.58715</v>
      </c>
      <c r="L103" s="86"/>
    </row>
    <row r="104" spans="2:12" s="16" customFormat="1" ht="15.75">
      <c r="B104" s="79"/>
      <c r="C104" s="79"/>
      <c r="D104" s="79"/>
      <c r="E104" s="79"/>
      <c r="F104" s="146" t="s">
        <v>181</v>
      </c>
      <c r="G104" s="146"/>
      <c r="H104" s="152">
        <v>5000</v>
      </c>
      <c r="I104" s="152">
        <v>5000</v>
      </c>
      <c r="J104" s="152"/>
      <c r="K104" s="175"/>
      <c r="L104" s="153"/>
    </row>
    <row r="105" spans="2:12" s="16" customFormat="1" ht="15.75">
      <c r="B105" s="79"/>
      <c r="C105" s="79"/>
      <c r="D105" s="79"/>
      <c r="E105" s="79"/>
      <c r="F105" s="146" t="s">
        <v>183</v>
      </c>
      <c r="G105" s="146"/>
      <c r="H105" s="152">
        <v>15000</v>
      </c>
      <c r="I105" s="152">
        <v>15000</v>
      </c>
      <c r="J105" s="152"/>
      <c r="K105" s="175"/>
      <c r="L105" s="153"/>
    </row>
    <row r="106" spans="2:12" s="16" customFormat="1" ht="15.75">
      <c r="B106" s="79"/>
      <c r="C106" s="79" t="s">
        <v>184</v>
      </c>
      <c r="D106" s="79" t="s">
        <v>185</v>
      </c>
      <c r="E106" s="79"/>
      <c r="F106" s="146"/>
      <c r="G106" s="146"/>
      <c r="H106" s="148">
        <v>150000</v>
      </c>
      <c r="I106" s="148">
        <v>150000</v>
      </c>
      <c r="J106" s="148">
        <v>0</v>
      </c>
      <c r="K106" s="175">
        <f>J106/I106</f>
        <v>0</v>
      </c>
      <c r="L106" s="86"/>
    </row>
    <row r="107" spans="2:12" s="16" customFormat="1" ht="15.75">
      <c r="B107" s="79"/>
      <c r="C107" s="79" t="s">
        <v>186</v>
      </c>
      <c r="D107" s="79" t="s">
        <v>187</v>
      </c>
      <c r="E107" s="79"/>
      <c r="F107" s="146"/>
      <c r="G107" s="146"/>
      <c r="H107" s="148">
        <f>SUM(H108)</f>
        <v>500000</v>
      </c>
      <c r="I107" s="148">
        <v>500000</v>
      </c>
      <c r="J107" s="148">
        <v>0</v>
      </c>
      <c r="K107" s="175">
        <f>J107/I107</f>
        <v>0</v>
      </c>
      <c r="L107" s="86"/>
    </row>
    <row r="108" spans="2:12" s="16" customFormat="1" ht="15.75">
      <c r="B108" s="79"/>
      <c r="C108" s="79"/>
      <c r="D108" s="79"/>
      <c r="E108" s="79"/>
      <c r="F108" s="146" t="s">
        <v>191</v>
      </c>
      <c r="G108" s="146"/>
      <c r="H108" s="152">
        <v>500000</v>
      </c>
      <c r="I108" s="152">
        <v>500000</v>
      </c>
      <c r="J108" s="152"/>
      <c r="K108" s="175"/>
      <c r="L108" s="153"/>
    </row>
    <row r="109" spans="2:12" s="16" customFormat="1" ht="15.75">
      <c r="B109" s="79" t="s">
        <v>196</v>
      </c>
      <c r="C109" s="79"/>
      <c r="D109" s="79" t="s">
        <v>197</v>
      </c>
      <c r="E109" s="79"/>
      <c r="F109" s="146"/>
      <c r="G109" s="146"/>
      <c r="H109" s="171">
        <f>SUM(H110)</f>
        <v>160000</v>
      </c>
      <c r="I109" s="171">
        <f>SUM(I110)</f>
        <v>160000</v>
      </c>
      <c r="J109" s="171">
        <v>3173</v>
      </c>
      <c r="K109" s="175">
        <f>J109/I109</f>
        <v>0.01983125</v>
      </c>
      <c r="L109" s="172"/>
    </row>
    <row r="110" spans="2:12" s="16" customFormat="1" ht="15.75">
      <c r="B110" s="79"/>
      <c r="C110" s="79" t="s">
        <v>198</v>
      </c>
      <c r="D110" s="79" t="s">
        <v>199</v>
      </c>
      <c r="E110" s="79"/>
      <c r="F110" s="146"/>
      <c r="G110" s="146"/>
      <c r="H110" s="148">
        <v>160000</v>
      </c>
      <c r="I110" s="148">
        <v>160000</v>
      </c>
      <c r="J110" s="148">
        <v>3173</v>
      </c>
      <c r="K110" s="175">
        <f>J110/I110</f>
        <v>0.01983125</v>
      </c>
      <c r="L110" s="86"/>
    </row>
    <row r="111" spans="1:12" s="52" customFormat="1" ht="15.75">
      <c r="A111" s="52" t="s">
        <v>37</v>
      </c>
      <c r="B111" s="53" t="s">
        <v>38</v>
      </c>
      <c r="C111" s="53"/>
      <c r="D111" s="53"/>
      <c r="E111" s="53"/>
      <c r="F111" s="149"/>
      <c r="G111" s="143"/>
      <c r="H111" s="169">
        <f>SUM(H112:H113)</f>
        <v>400000</v>
      </c>
      <c r="I111" s="169">
        <f>SUM(I112:I113)</f>
        <v>400000</v>
      </c>
      <c r="J111" s="169">
        <v>0</v>
      </c>
      <c r="K111" s="175">
        <f>J111/I111</f>
        <v>0</v>
      </c>
      <c r="L111" s="170"/>
    </row>
    <row r="112" spans="2:12" s="16" customFormat="1" ht="15.75">
      <c r="B112" s="79" t="s">
        <v>230</v>
      </c>
      <c r="C112" s="79"/>
      <c r="D112" s="79" t="s">
        <v>231</v>
      </c>
      <c r="E112" s="79"/>
      <c r="F112" s="146"/>
      <c r="G112" s="146"/>
      <c r="H112" s="148">
        <v>315000</v>
      </c>
      <c r="I112" s="148">
        <v>315000</v>
      </c>
      <c r="J112" s="148">
        <v>0</v>
      </c>
      <c r="K112" s="175">
        <f>J112/I112</f>
        <v>0</v>
      </c>
      <c r="L112" s="86"/>
    </row>
    <row r="113" spans="2:12" s="16" customFormat="1" ht="15.75">
      <c r="B113" s="79" t="s">
        <v>223</v>
      </c>
      <c r="C113" s="79"/>
      <c r="D113" s="79" t="s">
        <v>224</v>
      </c>
      <c r="E113" s="79"/>
      <c r="F113" s="146"/>
      <c r="G113" s="146"/>
      <c r="H113" s="148">
        <v>85000</v>
      </c>
      <c r="I113" s="148">
        <v>85000</v>
      </c>
      <c r="J113" s="148">
        <v>0</v>
      </c>
      <c r="K113" s="175">
        <f>J113/I113</f>
        <v>0</v>
      </c>
      <c r="L113" s="86"/>
    </row>
    <row r="114" spans="1:12" s="178" customFormat="1" ht="32.25" customHeight="1">
      <c r="A114" s="67" t="s">
        <v>232</v>
      </c>
      <c r="B114" s="82"/>
      <c r="C114" s="82"/>
      <c r="D114" s="82"/>
      <c r="E114" s="82"/>
      <c r="F114" s="160"/>
      <c r="G114" s="160"/>
      <c r="H114" s="176">
        <f aca="true" t="shared" si="5" ref="H114:I116">SUM(H115)</f>
        <v>288000</v>
      </c>
      <c r="I114" s="176">
        <f t="shared" si="5"/>
        <v>0</v>
      </c>
      <c r="J114" s="176"/>
      <c r="K114" s="177"/>
      <c r="L114" s="170"/>
    </row>
    <row r="115" spans="1:12" s="52" customFormat="1" ht="15.75">
      <c r="A115" s="52" t="s">
        <v>34</v>
      </c>
      <c r="B115" s="53" t="s">
        <v>35</v>
      </c>
      <c r="C115" s="53"/>
      <c r="D115" s="53"/>
      <c r="E115" s="53"/>
      <c r="F115" s="149"/>
      <c r="G115" s="143"/>
      <c r="H115" s="169">
        <f t="shared" si="5"/>
        <v>288000</v>
      </c>
      <c r="I115" s="169">
        <f t="shared" si="5"/>
        <v>0</v>
      </c>
      <c r="J115" s="169">
        <v>0</v>
      </c>
      <c r="K115" s="179"/>
      <c r="L115" s="170"/>
    </row>
    <row r="116" spans="2:12" s="16" customFormat="1" ht="15.75">
      <c r="B116" s="79"/>
      <c r="C116" s="79" t="s">
        <v>202</v>
      </c>
      <c r="D116" s="79" t="s">
        <v>203</v>
      </c>
      <c r="E116" s="79"/>
      <c r="F116" s="146"/>
      <c r="G116" s="146"/>
      <c r="H116" s="148">
        <f t="shared" si="5"/>
        <v>288000</v>
      </c>
      <c r="I116" s="148">
        <f t="shared" si="5"/>
        <v>0</v>
      </c>
      <c r="J116" s="148"/>
      <c r="K116" s="175"/>
      <c r="L116" s="86"/>
    </row>
    <row r="117" spans="2:12" s="16" customFormat="1" ht="17.25" customHeight="1">
      <c r="B117" s="79"/>
      <c r="C117" s="79"/>
      <c r="D117" s="79"/>
      <c r="E117" s="79"/>
      <c r="F117" s="155" t="s">
        <v>233</v>
      </c>
      <c r="G117" s="155"/>
      <c r="H117" s="156">
        <v>288000</v>
      </c>
      <c r="I117" s="156">
        <v>0</v>
      </c>
      <c r="J117" s="156"/>
      <c r="K117" s="180"/>
      <c r="L117" s="157"/>
    </row>
    <row r="118" spans="1:12" s="52" customFormat="1" ht="33.75" customHeight="1">
      <c r="A118" s="67" t="s">
        <v>234</v>
      </c>
      <c r="B118" s="82"/>
      <c r="C118" s="82"/>
      <c r="D118" s="82"/>
      <c r="E118" s="82"/>
      <c r="F118" s="164"/>
      <c r="G118" s="164"/>
      <c r="H118" s="181">
        <f>SUM(H119)</f>
        <v>564000</v>
      </c>
      <c r="I118" s="181">
        <f>SUM(I119)</f>
        <v>0</v>
      </c>
      <c r="J118" s="181"/>
      <c r="K118" s="182"/>
      <c r="L118" s="183"/>
    </row>
    <row r="119" spans="1:12" s="52" customFormat="1" ht="15.75">
      <c r="A119" s="52" t="s">
        <v>34</v>
      </c>
      <c r="B119" s="53" t="s">
        <v>35</v>
      </c>
      <c r="C119" s="53"/>
      <c r="D119" s="53"/>
      <c r="E119" s="53"/>
      <c r="F119" s="149"/>
      <c r="G119" s="143"/>
      <c r="H119" s="144">
        <f>SUM(H120)</f>
        <v>564000</v>
      </c>
      <c r="I119" s="144">
        <f>SUM(I120)</f>
        <v>0</v>
      </c>
      <c r="J119" s="144">
        <v>0</v>
      </c>
      <c r="K119" s="145"/>
      <c r="L119" s="84"/>
    </row>
    <row r="120" spans="2:12" s="16" customFormat="1" ht="15.75">
      <c r="B120" s="79"/>
      <c r="C120" s="79" t="s">
        <v>202</v>
      </c>
      <c r="D120" s="79" t="s">
        <v>203</v>
      </c>
      <c r="E120" s="79"/>
      <c r="F120" s="146"/>
      <c r="G120" s="146"/>
      <c r="H120" s="148">
        <f>SUM(H121:H121)</f>
        <v>564000</v>
      </c>
      <c r="I120" s="148">
        <f>SUM(I121:I121)</f>
        <v>0</v>
      </c>
      <c r="J120" s="148"/>
      <c r="K120" s="175"/>
      <c r="L120" s="86"/>
    </row>
    <row r="121" spans="2:12" s="16" customFormat="1" ht="15.75" customHeight="1">
      <c r="B121" s="79"/>
      <c r="C121" s="79"/>
      <c r="D121" s="79"/>
      <c r="E121" s="79"/>
      <c r="F121" s="155" t="s">
        <v>235</v>
      </c>
      <c r="G121" s="155"/>
      <c r="H121" s="156">
        <v>564000</v>
      </c>
      <c r="I121" s="156">
        <v>0</v>
      </c>
      <c r="J121" s="156"/>
      <c r="K121" s="180"/>
      <c r="L121" s="157"/>
    </row>
    <row r="122" spans="1:12" s="178" customFormat="1" ht="31.5" customHeight="1">
      <c r="A122" s="67" t="s">
        <v>236</v>
      </c>
      <c r="B122" s="82"/>
      <c r="C122" s="82"/>
      <c r="D122" s="82"/>
      <c r="E122" s="82"/>
      <c r="F122" s="160"/>
      <c r="G122" s="160"/>
      <c r="H122" s="176">
        <f>SUM(H123)</f>
        <v>1000000</v>
      </c>
      <c r="I122" s="176">
        <f>SUM(I123)</f>
        <v>1070000</v>
      </c>
      <c r="J122" s="176">
        <f>J123</f>
        <v>453591</v>
      </c>
      <c r="K122" s="177">
        <f>J122/I122</f>
        <v>0.4239168224299065</v>
      </c>
      <c r="L122" s="170"/>
    </row>
    <row r="123" spans="1:12" s="52" customFormat="1" ht="15.75">
      <c r="A123" s="52" t="s">
        <v>30</v>
      </c>
      <c r="B123" s="53" t="s">
        <v>31</v>
      </c>
      <c r="C123" s="53"/>
      <c r="D123" s="53"/>
      <c r="E123" s="53"/>
      <c r="F123" s="149"/>
      <c r="G123" s="143"/>
      <c r="H123" s="169">
        <f>SUM(H124+H128+H131)</f>
        <v>1000000</v>
      </c>
      <c r="I123" s="169">
        <f>SUM(I124+I128+I131)</f>
        <v>1070000</v>
      </c>
      <c r="J123" s="169">
        <f>SUM(J124+J128+J131)</f>
        <v>453591</v>
      </c>
      <c r="K123" s="179">
        <f>J123/I123</f>
        <v>0.4239168224299065</v>
      </c>
      <c r="L123" s="170"/>
    </row>
    <row r="124" spans="2:12" s="16" customFormat="1" ht="15.75">
      <c r="B124" s="79" t="s">
        <v>157</v>
      </c>
      <c r="C124" s="79"/>
      <c r="D124" s="79" t="s">
        <v>158</v>
      </c>
      <c r="E124" s="79"/>
      <c r="F124" s="151"/>
      <c r="G124" s="151"/>
      <c r="H124" s="171">
        <f>SUM(H125)</f>
        <v>600000</v>
      </c>
      <c r="I124" s="171">
        <f>SUM(I125)</f>
        <v>600000</v>
      </c>
      <c r="J124" s="171">
        <f>J125</f>
        <v>302303</v>
      </c>
      <c r="K124" s="184">
        <f>J124/I124</f>
        <v>0.5038383333333334</v>
      </c>
      <c r="L124" s="172"/>
    </row>
    <row r="125" spans="2:12" s="16" customFormat="1" ht="15.75">
      <c r="B125" s="79"/>
      <c r="C125" s="79" t="s">
        <v>162</v>
      </c>
      <c r="D125" s="79" t="s">
        <v>237</v>
      </c>
      <c r="E125" s="79"/>
      <c r="F125" s="146"/>
      <c r="G125" s="146"/>
      <c r="H125" s="148">
        <f>SUM(H126:H127)</f>
        <v>600000</v>
      </c>
      <c r="I125" s="148">
        <f>SUM(I126:I127)</f>
        <v>600000</v>
      </c>
      <c r="J125" s="148">
        <v>302303</v>
      </c>
      <c r="K125" s="184">
        <f>J125/I125</f>
        <v>0.5038383333333334</v>
      </c>
      <c r="L125" s="86"/>
    </row>
    <row r="126" spans="1:12" s="16" customFormat="1" ht="15.75">
      <c r="A126" s="52"/>
      <c r="B126" s="78"/>
      <c r="C126" s="78"/>
      <c r="D126" s="154"/>
      <c r="E126" s="154"/>
      <c r="F126" s="146" t="s">
        <v>220</v>
      </c>
      <c r="G126" s="146"/>
      <c r="H126" s="152">
        <v>250000</v>
      </c>
      <c r="I126" s="152">
        <v>250000</v>
      </c>
      <c r="J126" s="152"/>
      <c r="K126" s="184"/>
      <c r="L126" s="153"/>
    </row>
    <row r="127" spans="1:12" s="16" customFormat="1" ht="15.75">
      <c r="A127" s="52"/>
      <c r="B127" s="78"/>
      <c r="C127" s="78"/>
      <c r="D127" s="154"/>
      <c r="E127" s="154"/>
      <c r="F127" s="146" t="s">
        <v>166</v>
      </c>
      <c r="G127" s="146"/>
      <c r="H127" s="152">
        <v>350000</v>
      </c>
      <c r="I127" s="152">
        <v>350000</v>
      </c>
      <c r="J127" s="152"/>
      <c r="K127" s="184"/>
      <c r="L127" s="153"/>
    </row>
    <row r="128" spans="2:12" s="16" customFormat="1" ht="15.75">
      <c r="B128" s="79" t="s">
        <v>177</v>
      </c>
      <c r="C128" s="79"/>
      <c r="D128" s="79" t="s">
        <v>178</v>
      </c>
      <c r="E128" s="79"/>
      <c r="F128" s="146"/>
      <c r="G128" s="146"/>
      <c r="H128" s="171">
        <f>SUM(H129)</f>
        <v>200000</v>
      </c>
      <c r="I128" s="171">
        <f>SUM(I129:I130)</f>
        <v>270000</v>
      </c>
      <c r="J128" s="171">
        <f>J129+J130</f>
        <v>66000</v>
      </c>
      <c r="K128" s="184">
        <f>J128/I128</f>
        <v>0.24444444444444444</v>
      </c>
      <c r="L128" s="172"/>
    </row>
    <row r="129" spans="2:12" s="16" customFormat="1" ht="15.75">
      <c r="B129" s="79"/>
      <c r="C129" s="79" t="s">
        <v>184</v>
      </c>
      <c r="D129" s="79" t="s">
        <v>185</v>
      </c>
      <c r="E129" s="79"/>
      <c r="F129" s="146"/>
      <c r="G129" s="146"/>
      <c r="H129" s="148">
        <v>200000</v>
      </c>
      <c r="I129" s="148">
        <v>200000</v>
      </c>
      <c r="J129" s="148">
        <v>0</v>
      </c>
      <c r="K129" s="184">
        <f>J129/I129</f>
        <v>0</v>
      </c>
      <c r="L129" s="86"/>
    </row>
    <row r="130" spans="2:12" s="16" customFormat="1" ht="15.75">
      <c r="B130" s="79"/>
      <c r="C130" s="79" t="s">
        <v>186</v>
      </c>
      <c r="D130" s="79" t="s">
        <v>187</v>
      </c>
      <c r="E130" s="79"/>
      <c r="F130" s="146"/>
      <c r="G130" s="146"/>
      <c r="H130" s="148"/>
      <c r="I130" s="148">
        <v>70000</v>
      </c>
      <c r="J130" s="148">
        <v>66000</v>
      </c>
      <c r="K130" s="184"/>
      <c r="L130" s="86"/>
    </row>
    <row r="131" spans="2:12" s="16" customFormat="1" ht="15.75">
      <c r="B131" s="79" t="s">
        <v>196</v>
      </c>
      <c r="C131" s="79"/>
      <c r="D131" s="79" t="s">
        <v>197</v>
      </c>
      <c r="E131" s="79"/>
      <c r="F131" s="146"/>
      <c r="G131" s="146"/>
      <c r="H131" s="171">
        <f>SUM(H132)</f>
        <v>200000</v>
      </c>
      <c r="I131" s="171">
        <f>SUM(I132)</f>
        <v>200000</v>
      </c>
      <c r="J131" s="171">
        <f>J132</f>
        <v>85288</v>
      </c>
      <c r="K131" s="184">
        <f aca="true" t="shared" si="6" ref="K131:K149">J131/I131</f>
        <v>0.42644</v>
      </c>
      <c r="L131" s="172"/>
    </row>
    <row r="132" spans="2:12" s="16" customFormat="1" ht="15.75">
      <c r="B132" s="79"/>
      <c r="C132" s="79" t="s">
        <v>198</v>
      </c>
      <c r="D132" s="79" t="s">
        <v>199</v>
      </c>
      <c r="E132" s="79"/>
      <c r="F132" s="146"/>
      <c r="G132" s="146"/>
      <c r="H132" s="148">
        <v>200000</v>
      </c>
      <c r="I132" s="148">
        <v>200000</v>
      </c>
      <c r="J132" s="148">
        <v>85288</v>
      </c>
      <c r="K132" s="184">
        <f t="shared" si="6"/>
        <v>0.42644</v>
      </c>
      <c r="L132" s="86"/>
    </row>
    <row r="133" spans="1:12" s="178" customFormat="1" ht="32.25" customHeight="1">
      <c r="A133" s="474" t="s">
        <v>238</v>
      </c>
      <c r="B133" s="474"/>
      <c r="C133" s="474"/>
      <c r="D133" s="474"/>
      <c r="E133" s="474"/>
      <c r="F133" s="474"/>
      <c r="G133" s="160"/>
      <c r="H133" s="176">
        <f>SUM(H134)</f>
        <v>765000</v>
      </c>
      <c r="I133" s="176">
        <f>SUM(I134)</f>
        <v>765000</v>
      </c>
      <c r="J133" s="176">
        <f>J134</f>
        <v>651635</v>
      </c>
      <c r="K133" s="177">
        <f t="shared" si="6"/>
        <v>0.8518104575163399</v>
      </c>
      <c r="L133" s="170"/>
    </row>
    <row r="134" spans="1:12" s="52" customFormat="1" ht="15.75">
      <c r="A134" s="52" t="s">
        <v>30</v>
      </c>
      <c r="B134" s="53" t="s">
        <v>31</v>
      </c>
      <c r="C134" s="53"/>
      <c r="D134" s="53"/>
      <c r="E134" s="53"/>
      <c r="F134" s="149"/>
      <c r="G134" s="143"/>
      <c r="H134" s="169">
        <f>SUM(H135+H138)</f>
        <v>765000</v>
      </c>
      <c r="I134" s="169">
        <f>SUM(I135+I138)</f>
        <v>765000</v>
      </c>
      <c r="J134" s="169">
        <f>J135+J138</f>
        <v>651635</v>
      </c>
      <c r="K134" s="179">
        <f t="shared" si="6"/>
        <v>0.8518104575163399</v>
      </c>
      <c r="L134" s="170"/>
    </row>
    <row r="135" spans="2:12" s="16" customFormat="1" ht="15.75">
      <c r="B135" s="79" t="s">
        <v>177</v>
      </c>
      <c r="C135" s="79"/>
      <c r="D135" s="79" t="s">
        <v>178</v>
      </c>
      <c r="E135" s="79"/>
      <c r="F135" s="146"/>
      <c r="G135" s="146"/>
      <c r="H135" s="171">
        <f>SUM(H136)</f>
        <v>600000</v>
      </c>
      <c r="I135" s="171">
        <f>SUM(I136)</f>
        <v>600000</v>
      </c>
      <c r="J135" s="171">
        <f>J136</f>
        <v>519736</v>
      </c>
      <c r="K135" s="184">
        <f t="shared" si="6"/>
        <v>0.8662266666666667</v>
      </c>
      <c r="L135" s="172"/>
    </row>
    <row r="136" spans="2:12" s="16" customFormat="1" ht="15.75">
      <c r="B136" s="79"/>
      <c r="C136" s="79" t="s">
        <v>179</v>
      </c>
      <c r="D136" s="79" t="s">
        <v>180</v>
      </c>
      <c r="E136" s="79"/>
      <c r="F136" s="146"/>
      <c r="G136" s="146"/>
      <c r="H136" s="148">
        <f>SUM(H137)</f>
        <v>600000</v>
      </c>
      <c r="I136" s="148">
        <f>SUM(I137)</f>
        <v>600000</v>
      </c>
      <c r="J136" s="148">
        <f>J137</f>
        <v>519736</v>
      </c>
      <c r="K136" s="184">
        <f t="shared" si="6"/>
        <v>0.8662266666666667</v>
      </c>
      <c r="L136" s="86"/>
    </row>
    <row r="137" spans="2:12" s="16" customFormat="1" ht="15.75">
      <c r="B137" s="79"/>
      <c r="C137" s="79"/>
      <c r="D137" s="79"/>
      <c r="E137" s="79"/>
      <c r="F137" s="146" t="s">
        <v>181</v>
      </c>
      <c r="G137" s="146"/>
      <c r="H137" s="152">
        <v>600000</v>
      </c>
      <c r="I137" s="152">
        <v>600000</v>
      </c>
      <c r="J137" s="152">
        <v>519736</v>
      </c>
      <c r="K137" s="184">
        <f t="shared" si="6"/>
        <v>0.8662266666666667</v>
      </c>
      <c r="L137" s="153"/>
    </row>
    <row r="138" spans="2:12" s="16" customFormat="1" ht="15.75">
      <c r="B138" s="79" t="s">
        <v>196</v>
      </c>
      <c r="C138" s="79"/>
      <c r="D138" s="79" t="s">
        <v>197</v>
      </c>
      <c r="E138" s="79"/>
      <c r="F138" s="146"/>
      <c r="G138" s="146"/>
      <c r="H138" s="147">
        <f>SUM(H139)</f>
        <v>165000</v>
      </c>
      <c r="I138" s="147">
        <f>SUM(I139)</f>
        <v>165000</v>
      </c>
      <c r="J138" s="147">
        <f>J139</f>
        <v>131899</v>
      </c>
      <c r="K138" s="184">
        <f t="shared" si="6"/>
        <v>0.7993878787878788</v>
      </c>
      <c r="L138" s="85"/>
    </row>
    <row r="139" spans="2:12" s="16" customFormat="1" ht="15.75">
      <c r="B139" s="79"/>
      <c r="C139" s="79" t="s">
        <v>198</v>
      </c>
      <c r="D139" s="79" t="s">
        <v>199</v>
      </c>
      <c r="E139" s="79"/>
      <c r="F139" s="146"/>
      <c r="G139" s="146"/>
      <c r="H139" s="148">
        <v>165000</v>
      </c>
      <c r="I139" s="148">
        <v>165000</v>
      </c>
      <c r="J139" s="148">
        <v>131899</v>
      </c>
      <c r="K139" s="184">
        <f t="shared" si="6"/>
        <v>0.7993878787878788</v>
      </c>
      <c r="L139" s="86"/>
    </row>
    <row r="140" spans="1:12" s="178" customFormat="1" ht="31.5" customHeight="1">
      <c r="A140" s="67" t="s">
        <v>239</v>
      </c>
      <c r="B140" s="82"/>
      <c r="C140" s="82"/>
      <c r="D140" s="82"/>
      <c r="E140" s="82"/>
      <c r="F140" s="160"/>
      <c r="G140" s="185">
        <v>1</v>
      </c>
      <c r="H140" s="176">
        <f>SUM(H141+H146+H148)</f>
        <v>4565000</v>
      </c>
      <c r="I140" s="176">
        <f>SUM(I141+I146+I148)</f>
        <v>4923975</v>
      </c>
      <c r="J140" s="176">
        <f>J141+J146+J148</f>
        <v>4112427</v>
      </c>
      <c r="K140" s="177">
        <f t="shared" si="6"/>
        <v>0.835184378474708</v>
      </c>
      <c r="L140" s="170"/>
    </row>
    <row r="141" spans="1:12" s="52" customFormat="1" ht="15.75">
      <c r="A141" s="52" t="s">
        <v>26</v>
      </c>
      <c r="B141" s="53" t="s">
        <v>141</v>
      </c>
      <c r="C141" s="53"/>
      <c r="D141" s="53"/>
      <c r="E141" s="53"/>
      <c r="F141" s="149"/>
      <c r="G141" s="143"/>
      <c r="H141" s="144">
        <f>SUM(H142)</f>
        <v>2762000</v>
      </c>
      <c r="I141" s="144">
        <f>SUM(I142)</f>
        <v>3050475</v>
      </c>
      <c r="J141" s="144">
        <f>J142</f>
        <v>2788762</v>
      </c>
      <c r="K141" s="145">
        <f t="shared" si="6"/>
        <v>0.9142058204050189</v>
      </c>
      <c r="L141" s="84"/>
    </row>
    <row r="142" spans="2:12" s="16" customFormat="1" ht="15.75">
      <c r="B142" s="79" t="s">
        <v>142</v>
      </c>
      <c r="C142" s="79"/>
      <c r="D142" s="79" t="s">
        <v>143</v>
      </c>
      <c r="E142" s="79"/>
      <c r="F142" s="146"/>
      <c r="G142" s="146"/>
      <c r="H142" s="171">
        <f>SUM(H143)</f>
        <v>2762000</v>
      </c>
      <c r="I142" s="171">
        <f>SUM(I143:I145)</f>
        <v>3050475</v>
      </c>
      <c r="J142" s="171">
        <f>SUM(J143:J145)</f>
        <v>2788762</v>
      </c>
      <c r="K142" s="145">
        <f t="shared" si="6"/>
        <v>0.9142058204050189</v>
      </c>
      <c r="L142" s="172"/>
    </row>
    <row r="143" spans="2:12" s="16" customFormat="1" ht="15.75">
      <c r="B143" s="79"/>
      <c r="C143" s="79" t="s">
        <v>144</v>
      </c>
      <c r="D143" s="79" t="s">
        <v>145</v>
      </c>
      <c r="E143" s="79"/>
      <c r="F143" s="146"/>
      <c r="G143" s="146"/>
      <c r="H143" s="148">
        <v>2762000</v>
      </c>
      <c r="I143" s="148">
        <v>3000000</v>
      </c>
      <c r="J143" s="148">
        <v>2738287</v>
      </c>
      <c r="K143" s="145">
        <f t="shared" si="6"/>
        <v>0.9127623333333333</v>
      </c>
      <c r="L143" s="86"/>
    </row>
    <row r="144" spans="2:12" s="16" customFormat="1" ht="15.75">
      <c r="B144" s="79"/>
      <c r="C144" s="79" t="s">
        <v>146</v>
      </c>
      <c r="D144" s="79" t="s">
        <v>147</v>
      </c>
      <c r="E144" s="79"/>
      <c r="F144" s="146"/>
      <c r="G144" s="146"/>
      <c r="H144" s="148"/>
      <c r="I144" s="148">
        <v>30075</v>
      </c>
      <c r="J144" s="148">
        <v>30075</v>
      </c>
      <c r="K144" s="145">
        <f t="shared" si="6"/>
        <v>1</v>
      </c>
      <c r="L144" s="87"/>
    </row>
    <row r="145" spans="2:14" s="16" customFormat="1" ht="15.75">
      <c r="B145" s="79"/>
      <c r="C145" s="79" t="s">
        <v>148</v>
      </c>
      <c r="D145" s="79" t="s">
        <v>149</v>
      </c>
      <c r="E145" s="79"/>
      <c r="F145" s="146"/>
      <c r="G145" s="146"/>
      <c r="H145" s="148"/>
      <c r="I145" s="148">
        <v>20400</v>
      </c>
      <c r="J145" s="148">
        <v>20400</v>
      </c>
      <c r="K145" s="145">
        <f t="shared" si="6"/>
        <v>1</v>
      </c>
      <c r="L145" s="86"/>
      <c r="N145" s="34"/>
    </row>
    <row r="146" spans="1:12" s="52" customFormat="1" ht="15.75" customHeight="1">
      <c r="A146" s="52" t="s">
        <v>28</v>
      </c>
      <c r="B146" s="53" t="s">
        <v>155</v>
      </c>
      <c r="C146" s="53"/>
      <c r="D146" s="53"/>
      <c r="E146" s="53"/>
      <c r="F146" s="149"/>
      <c r="G146" s="150"/>
      <c r="H146" s="169">
        <f>SUM(H147)</f>
        <v>539000</v>
      </c>
      <c r="I146" s="169">
        <f>SUM(I147)</f>
        <v>549500</v>
      </c>
      <c r="J146" s="169">
        <f>J147</f>
        <v>549039</v>
      </c>
      <c r="K146" s="145">
        <f t="shared" si="6"/>
        <v>0.9991610555050046</v>
      </c>
      <c r="L146" s="170"/>
    </row>
    <row r="147" spans="2:12" s="16" customFormat="1" ht="15.75">
      <c r="B147" s="79"/>
      <c r="C147" s="79"/>
      <c r="D147" s="79" t="s">
        <v>156</v>
      </c>
      <c r="E147" s="79"/>
      <c r="F147" s="146"/>
      <c r="G147" s="146"/>
      <c r="H147" s="148">
        <v>539000</v>
      </c>
      <c r="I147" s="148">
        <v>549500</v>
      </c>
      <c r="J147" s="148">
        <v>549039</v>
      </c>
      <c r="K147" s="145">
        <f t="shared" si="6"/>
        <v>0.9991610555050046</v>
      </c>
      <c r="L147" s="87"/>
    </row>
    <row r="148" spans="1:12" s="52" customFormat="1" ht="15.75">
      <c r="A148" s="52" t="s">
        <v>30</v>
      </c>
      <c r="B148" s="53" t="s">
        <v>31</v>
      </c>
      <c r="C148" s="53"/>
      <c r="D148" s="53"/>
      <c r="E148" s="53"/>
      <c r="F148" s="149"/>
      <c r="G148" s="143"/>
      <c r="H148" s="169">
        <f>SUM(H149+H153+H158)</f>
        <v>1264000</v>
      </c>
      <c r="I148" s="169">
        <f>SUM(I149+I153+I158)</f>
        <v>1324000</v>
      </c>
      <c r="J148" s="169">
        <f>J149+J153+J158</f>
        <v>774626</v>
      </c>
      <c r="K148" s="145">
        <f t="shared" si="6"/>
        <v>0.5850649546827794</v>
      </c>
      <c r="L148" s="170"/>
    </row>
    <row r="149" spans="2:12" s="16" customFormat="1" ht="15.75">
      <c r="B149" s="79" t="s">
        <v>157</v>
      </c>
      <c r="C149" s="79"/>
      <c r="D149" s="79" t="s">
        <v>158</v>
      </c>
      <c r="E149" s="79"/>
      <c r="F149" s="151"/>
      <c r="G149" s="151"/>
      <c r="H149" s="171">
        <f>SUM(H150:H152)</f>
        <v>574000</v>
      </c>
      <c r="I149" s="171">
        <f>SUM(I150:I152)</f>
        <v>574000</v>
      </c>
      <c r="J149" s="171">
        <v>362363</v>
      </c>
      <c r="K149" s="145">
        <f t="shared" si="6"/>
        <v>0.631294425087108</v>
      </c>
      <c r="L149" s="172"/>
    </row>
    <row r="150" spans="1:12" s="16" customFormat="1" ht="15.75">
      <c r="A150" s="52"/>
      <c r="B150" s="78"/>
      <c r="C150" s="78"/>
      <c r="D150" s="154"/>
      <c r="E150" s="154"/>
      <c r="F150" s="146" t="s">
        <v>220</v>
      </c>
      <c r="G150" s="146"/>
      <c r="H150" s="148">
        <v>350000</v>
      </c>
      <c r="I150" s="148">
        <v>350000</v>
      </c>
      <c r="J150" s="148"/>
      <c r="K150" s="145"/>
      <c r="L150" s="86"/>
    </row>
    <row r="151" spans="1:12" s="16" customFormat="1" ht="15.75">
      <c r="A151" s="52"/>
      <c r="B151" s="78"/>
      <c r="C151" s="78"/>
      <c r="D151" s="154"/>
      <c r="E151" s="154"/>
      <c r="F151" s="146" t="s">
        <v>240</v>
      </c>
      <c r="G151" s="146"/>
      <c r="H151" s="148">
        <v>24000</v>
      </c>
      <c r="I151" s="148">
        <v>24000</v>
      </c>
      <c r="J151" s="148"/>
      <c r="K151" s="145"/>
      <c r="L151" s="86"/>
    </row>
    <row r="152" spans="1:12" s="16" customFormat="1" ht="15.75">
      <c r="A152" s="52"/>
      <c r="B152" s="78"/>
      <c r="C152" s="78"/>
      <c r="D152" s="154"/>
      <c r="E152" s="154"/>
      <c r="F152" s="146" t="s">
        <v>166</v>
      </c>
      <c r="G152" s="146"/>
      <c r="H152" s="148">
        <v>200000</v>
      </c>
      <c r="I152" s="148">
        <v>200000</v>
      </c>
      <c r="J152" s="148"/>
      <c r="K152" s="145"/>
      <c r="L152" s="86"/>
    </row>
    <row r="153" spans="2:12" s="16" customFormat="1" ht="15.75">
      <c r="B153" s="79" t="s">
        <v>177</v>
      </c>
      <c r="C153" s="79"/>
      <c r="D153" s="79" t="s">
        <v>178</v>
      </c>
      <c r="E153" s="79"/>
      <c r="F153" s="146"/>
      <c r="G153" s="146"/>
      <c r="H153" s="171">
        <f>SUM(H154+H155)</f>
        <v>440000</v>
      </c>
      <c r="I153" s="171">
        <f>SUM(I154+I155)</f>
        <v>500000</v>
      </c>
      <c r="J153" s="171">
        <f>J154+J155</f>
        <v>290119</v>
      </c>
      <c r="K153" s="145">
        <f aca="true" t="shared" si="7" ref="K153:K185">J153/I153</f>
        <v>0.580238</v>
      </c>
      <c r="L153" s="172"/>
    </row>
    <row r="154" spans="2:12" s="16" customFormat="1" ht="15.75">
      <c r="B154" s="79"/>
      <c r="C154" s="79" t="s">
        <v>184</v>
      </c>
      <c r="D154" s="79" t="s">
        <v>185</v>
      </c>
      <c r="E154" s="79"/>
      <c r="F154" s="146"/>
      <c r="G154" s="146"/>
      <c r="H154" s="148">
        <v>200000</v>
      </c>
      <c r="I154" s="148">
        <v>200000</v>
      </c>
      <c r="J154" s="148">
        <v>49480</v>
      </c>
      <c r="K154" s="145">
        <f t="shared" si="7"/>
        <v>0.2474</v>
      </c>
      <c r="L154" s="86"/>
    </row>
    <row r="155" spans="2:12" s="16" customFormat="1" ht="15.75">
      <c r="B155" s="79"/>
      <c r="C155" s="79" t="s">
        <v>186</v>
      </c>
      <c r="D155" s="79" t="s">
        <v>187</v>
      </c>
      <c r="E155" s="79"/>
      <c r="F155" s="146"/>
      <c r="G155" s="146"/>
      <c r="H155" s="148">
        <f>SUM(H156:H157)</f>
        <v>240000</v>
      </c>
      <c r="I155" s="148">
        <f>SUM(I156:I157)</f>
        <v>300000</v>
      </c>
      <c r="J155" s="148">
        <f>J156+J157</f>
        <v>240639</v>
      </c>
      <c r="K155" s="145">
        <f t="shared" si="7"/>
        <v>0.80213</v>
      </c>
      <c r="L155" s="86"/>
    </row>
    <row r="156" spans="2:12" s="16" customFormat="1" ht="15.75">
      <c r="B156" s="79"/>
      <c r="C156" s="79"/>
      <c r="D156" s="79"/>
      <c r="E156" s="79"/>
      <c r="F156" s="146" t="s">
        <v>191</v>
      </c>
      <c r="G156" s="146"/>
      <c r="H156" s="152">
        <v>40000</v>
      </c>
      <c r="I156" s="152">
        <v>100000</v>
      </c>
      <c r="J156" s="152">
        <v>82359</v>
      </c>
      <c r="K156" s="145">
        <f t="shared" si="7"/>
        <v>0.82359</v>
      </c>
      <c r="L156" s="153"/>
    </row>
    <row r="157" spans="2:12" s="16" customFormat="1" ht="15.75">
      <c r="B157" s="79"/>
      <c r="C157" s="79"/>
      <c r="D157" s="79"/>
      <c r="E157" s="79"/>
      <c r="F157" s="146" t="s">
        <v>189</v>
      </c>
      <c r="G157" s="146"/>
      <c r="H157" s="152">
        <v>200000</v>
      </c>
      <c r="I157" s="152">
        <v>200000</v>
      </c>
      <c r="J157" s="152">
        <v>158280</v>
      </c>
      <c r="K157" s="145">
        <f t="shared" si="7"/>
        <v>0.7914</v>
      </c>
      <c r="L157" s="153"/>
    </row>
    <row r="158" spans="2:12" s="16" customFormat="1" ht="15.75">
      <c r="B158" s="79" t="s">
        <v>196</v>
      </c>
      <c r="C158" s="79"/>
      <c r="D158" s="79" t="s">
        <v>197</v>
      </c>
      <c r="E158" s="79"/>
      <c r="F158" s="146"/>
      <c r="G158" s="146"/>
      <c r="H158" s="171">
        <f>SUM(H159)</f>
        <v>250000</v>
      </c>
      <c r="I158" s="171">
        <f>SUM(I159)</f>
        <v>250000</v>
      </c>
      <c r="J158" s="171">
        <f>J159</f>
        <v>122144</v>
      </c>
      <c r="K158" s="145">
        <f t="shared" si="7"/>
        <v>0.488576</v>
      </c>
      <c r="L158" s="172"/>
    </row>
    <row r="159" spans="2:12" s="16" customFormat="1" ht="15.75">
      <c r="B159" s="79"/>
      <c r="C159" s="79" t="s">
        <v>198</v>
      </c>
      <c r="D159" s="79" t="s">
        <v>199</v>
      </c>
      <c r="E159" s="79"/>
      <c r="F159" s="146"/>
      <c r="G159" s="146"/>
      <c r="H159" s="152">
        <v>250000</v>
      </c>
      <c r="I159" s="152">
        <v>250000</v>
      </c>
      <c r="J159" s="152">
        <v>122144</v>
      </c>
      <c r="K159" s="145">
        <f t="shared" si="7"/>
        <v>0.488576</v>
      </c>
      <c r="L159" s="153"/>
    </row>
    <row r="160" spans="1:12" s="52" customFormat="1" ht="33" customHeight="1">
      <c r="A160" s="67" t="s">
        <v>116</v>
      </c>
      <c r="B160" s="82"/>
      <c r="C160" s="82"/>
      <c r="D160" s="82"/>
      <c r="E160" s="82"/>
      <c r="F160" s="160"/>
      <c r="G160" s="185">
        <v>4</v>
      </c>
      <c r="H160" s="161">
        <f>SUM(H161+H165)</f>
        <v>3758000</v>
      </c>
      <c r="I160" s="161">
        <f>SUM(I161+I165+I168)</f>
        <v>5101542</v>
      </c>
      <c r="J160" s="161">
        <f>SUM(J161+J165+J168)</f>
        <v>4558806</v>
      </c>
      <c r="K160" s="162">
        <f t="shared" si="7"/>
        <v>0.8936133427892978</v>
      </c>
      <c r="L160" s="84"/>
    </row>
    <row r="161" spans="1:12" s="52" customFormat="1" ht="15.75">
      <c r="A161" s="52" t="s">
        <v>26</v>
      </c>
      <c r="B161" s="78" t="s">
        <v>141</v>
      </c>
      <c r="C161" s="78"/>
      <c r="D161" s="78"/>
      <c r="E161" s="78"/>
      <c r="F161" s="143"/>
      <c r="G161" s="143"/>
      <c r="H161" s="144">
        <f>SUM(H162)</f>
        <v>3424000</v>
      </c>
      <c r="I161" s="144">
        <f>SUM(I162)</f>
        <v>4549423</v>
      </c>
      <c r="J161" s="144">
        <f>SUM(J162)</f>
        <v>4011032</v>
      </c>
      <c r="K161" s="145">
        <f t="shared" si="7"/>
        <v>0.8816573002774198</v>
      </c>
      <c r="L161" s="84"/>
    </row>
    <row r="162" spans="2:12" s="16" customFormat="1" ht="15.75">
      <c r="B162" s="79" t="s">
        <v>142</v>
      </c>
      <c r="C162" s="79"/>
      <c r="D162" s="79" t="s">
        <v>143</v>
      </c>
      <c r="E162" s="79"/>
      <c r="F162" s="146"/>
      <c r="G162" s="146"/>
      <c r="H162" s="147">
        <f>SUM(H163)</f>
        <v>3424000</v>
      </c>
      <c r="I162" s="147">
        <f>SUM(I163:I164)</f>
        <v>4549423</v>
      </c>
      <c r="J162" s="147">
        <f>SUM(J163:J164)</f>
        <v>4011032</v>
      </c>
      <c r="K162" s="163">
        <f t="shared" si="7"/>
        <v>0.8816573002774198</v>
      </c>
      <c r="L162" s="85"/>
    </row>
    <row r="163" spans="2:12" s="16" customFormat="1" ht="15.75">
      <c r="B163" s="79"/>
      <c r="C163" s="79" t="s">
        <v>144</v>
      </c>
      <c r="D163" s="79" t="s">
        <v>145</v>
      </c>
      <c r="E163" s="79"/>
      <c r="F163" s="146"/>
      <c r="G163" s="146"/>
      <c r="H163" s="148">
        <v>3424000</v>
      </c>
      <c r="I163" s="148">
        <v>4530823</v>
      </c>
      <c r="J163" s="148">
        <v>3994479</v>
      </c>
      <c r="K163" s="163">
        <f t="shared" si="7"/>
        <v>0.8816232724165124</v>
      </c>
      <c r="L163" s="87"/>
    </row>
    <row r="164" spans="2:14" s="16" customFormat="1" ht="15.75">
      <c r="B164" s="79"/>
      <c r="C164" s="79" t="s">
        <v>148</v>
      </c>
      <c r="D164" s="79" t="s">
        <v>149</v>
      </c>
      <c r="E164" s="79"/>
      <c r="F164" s="146"/>
      <c r="G164" s="146"/>
      <c r="H164" s="148"/>
      <c r="I164" s="148">
        <v>18600</v>
      </c>
      <c r="J164" s="148">
        <v>16553</v>
      </c>
      <c r="K164" s="163">
        <f t="shared" si="7"/>
        <v>0.8899462365591397</v>
      </c>
      <c r="L164" s="86"/>
      <c r="N164" s="34"/>
    </row>
    <row r="165" spans="1:12" s="52" customFormat="1" ht="15.75" customHeight="1">
      <c r="A165" s="52" t="s">
        <v>28</v>
      </c>
      <c r="B165" s="53" t="s">
        <v>155</v>
      </c>
      <c r="C165" s="53"/>
      <c r="D165" s="53"/>
      <c r="E165" s="53"/>
      <c r="F165" s="149"/>
      <c r="G165" s="150"/>
      <c r="H165" s="144">
        <f>SUM(H167)</f>
        <v>334000</v>
      </c>
      <c r="I165" s="144">
        <f>SUM(I166:I167)</f>
        <v>400119</v>
      </c>
      <c r="J165" s="144">
        <f>J166+J167</f>
        <v>397905</v>
      </c>
      <c r="K165" s="163">
        <f t="shared" si="7"/>
        <v>0.9944666461727636</v>
      </c>
      <c r="L165" s="84"/>
    </row>
    <row r="166" spans="2:12" s="52" customFormat="1" ht="15.75" customHeight="1">
      <c r="B166" s="53"/>
      <c r="C166" s="53"/>
      <c r="D166" s="79" t="s">
        <v>156</v>
      </c>
      <c r="E166" s="79"/>
      <c r="F166" s="146"/>
      <c r="G166" s="146"/>
      <c r="H166" s="148">
        <v>334000</v>
      </c>
      <c r="I166" s="148">
        <v>395119</v>
      </c>
      <c r="J166" s="148">
        <v>394734</v>
      </c>
      <c r="K166" s="163">
        <f t="shared" si="7"/>
        <v>0.9990256100060995</v>
      </c>
      <c r="L166" s="84"/>
    </row>
    <row r="167" spans="2:12" s="16" customFormat="1" ht="15.75">
      <c r="B167" s="79"/>
      <c r="C167" s="79"/>
      <c r="D167" s="79" t="s">
        <v>241</v>
      </c>
      <c r="E167" s="79"/>
      <c r="F167" s="146"/>
      <c r="G167" s="146"/>
      <c r="H167" s="148">
        <v>334000</v>
      </c>
      <c r="I167" s="148">
        <v>5000</v>
      </c>
      <c r="J167" s="148">
        <v>3171</v>
      </c>
      <c r="K167" s="163">
        <f t="shared" si="7"/>
        <v>0.6342</v>
      </c>
      <c r="L167" s="86"/>
    </row>
    <row r="168" spans="1:12" s="52" customFormat="1" ht="15.75">
      <c r="A168" s="52" t="s">
        <v>30</v>
      </c>
      <c r="B168" s="53" t="s">
        <v>31</v>
      </c>
      <c r="C168" s="53"/>
      <c r="D168" s="53"/>
      <c r="E168" s="53"/>
      <c r="F168" s="149"/>
      <c r="G168" s="143"/>
      <c r="H168" s="169"/>
      <c r="I168" s="169">
        <f>I169+I171</f>
        <v>152000</v>
      </c>
      <c r="J168" s="169">
        <f>J169+J171</f>
        <v>149869</v>
      </c>
      <c r="K168" s="163">
        <f t="shared" si="7"/>
        <v>0.9859802631578948</v>
      </c>
      <c r="L168" s="170"/>
    </row>
    <row r="169" spans="2:12" s="16" customFormat="1" ht="15.75">
      <c r="B169" s="79" t="s">
        <v>157</v>
      </c>
      <c r="C169" s="79"/>
      <c r="D169" s="79" t="s">
        <v>158</v>
      </c>
      <c r="E169" s="79"/>
      <c r="F169" s="151"/>
      <c r="G169" s="151"/>
      <c r="H169" s="171">
        <f>SUM(H170)</f>
        <v>0</v>
      </c>
      <c r="I169" s="171">
        <v>120000</v>
      </c>
      <c r="J169" s="171">
        <f>J170</f>
        <v>118008</v>
      </c>
      <c r="K169" s="163">
        <f t="shared" si="7"/>
        <v>0.9834</v>
      </c>
      <c r="L169" s="172"/>
    </row>
    <row r="170" spans="2:12" s="16" customFormat="1" ht="15.75">
      <c r="B170" s="79"/>
      <c r="C170" s="79" t="s">
        <v>162</v>
      </c>
      <c r="D170" s="79" t="s">
        <v>237</v>
      </c>
      <c r="E170" s="79"/>
      <c r="F170" s="146"/>
      <c r="G170" s="146"/>
      <c r="H170" s="148">
        <f>SUM(H171:H172)</f>
        <v>0</v>
      </c>
      <c r="I170" s="148">
        <v>150000</v>
      </c>
      <c r="J170" s="148">
        <v>118008</v>
      </c>
      <c r="K170" s="163">
        <f t="shared" si="7"/>
        <v>0.78672</v>
      </c>
      <c r="L170" s="86"/>
    </row>
    <row r="171" spans="2:12" s="16" customFormat="1" ht="15.75">
      <c r="B171" s="79" t="s">
        <v>196</v>
      </c>
      <c r="C171" s="79"/>
      <c r="D171" s="79" t="s">
        <v>197</v>
      </c>
      <c r="E171" s="79"/>
      <c r="F171" s="146"/>
      <c r="G171" s="146"/>
      <c r="H171" s="171"/>
      <c r="I171" s="171">
        <v>32000</v>
      </c>
      <c r="J171" s="171">
        <f>J172</f>
        <v>31861</v>
      </c>
      <c r="K171" s="163">
        <f t="shared" si="7"/>
        <v>0.99565625</v>
      </c>
      <c r="L171" s="172"/>
    </row>
    <row r="172" spans="2:12" s="16" customFormat="1" ht="15.75">
      <c r="B172" s="79"/>
      <c r="C172" s="79" t="s">
        <v>198</v>
      </c>
      <c r="D172" s="79" t="s">
        <v>199</v>
      </c>
      <c r="E172" s="79"/>
      <c r="F172" s="146"/>
      <c r="G172" s="146"/>
      <c r="H172" s="152"/>
      <c r="I172" s="152">
        <v>32000</v>
      </c>
      <c r="J172" s="152">
        <v>31861</v>
      </c>
      <c r="K172" s="163">
        <f t="shared" si="7"/>
        <v>0.99565625</v>
      </c>
      <c r="L172" s="153"/>
    </row>
    <row r="173" spans="1:12" s="52" customFormat="1" ht="31.5" customHeight="1">
      <c r="A173" s="67" t="s">
        <v>242</v>
      </c>
      <c r="B173" s="82"/>
      <c r="C173" s="82"/>
      <c r="D173" s="82"/>
      <c r="E173" s="82"/>
      <c r="F173" s="160"/>
      <c r="G173" s="160"/>
      <c r="H173" s="161">
        <f aca="true" t="shared" si="8" ref="H173:I175">SUM(H174)</f>
        <v>500000</v>
      </c>
      <c r="I173" s="161">
        <f t="shared" si="8"/>
        <v>139800</v>
      </c>
      <c r="J173" s="161">
        <f>J174</f>
        <v>33288</v>
      </c>
      <c r="K173" s="162">
        <f t="shared" si="7"/>
        <v>0.2381115879828326</v>
      </c>
      <c r="L173" s="84"/>
    </row>
    <row r="174" spans="1:12" s="52" customFormat="1" ht="15.75">
      <c r="A174" s="52" t="s">
        <v>34</v>
      </c>
      <c r="B174" s="53" t="s">
        <v>35</v>
      </c>
      <c r="C174" s="53"/>
      <c r="D174" s="53"/>
      <c r="E174" s="53"/>
      <c r="F174" s="149"/>
      <c r="G174" s="143"/>
      <c r="H174" s="144">
        <f t="shared" si="8"/>
        <v>500000</v>
      </c>
      <c r="I174" s="144">
        <f t="shared" si="8"/>
        <v>139800</v>
      </c>
      <c r="J174" s="144">
        <f>J175</f>
        <v>33288</v>
      </c>
      <c r="K174" s="145">
        <f t="shared" si="7"/>
        <v>0.2381115879828326</v>
      </c>
      <c r="L174" s="84"/>
    </row>
    <row r="175" spans="2:12" s="16" customFormat="1" ht="15.75">
      <c r="B175" s="79"/>
      <c r="C175" s="79" t="s">
        <v>202</v>
      </c>
      <c r="D175" s="79" t="s">
        <v>203</v>
      </c>
      <c r="E175" s="79"/>
      <c r="F175" s="146"/>
      <c r="G175" s="146"/>
      <c r="H175" s="148">
        <f t="shared" si="8"/>
        <v>500000</v>
      </c>
      <c r="I175" s="148">
        <f t="shared" si="8"/>
        <v>139800</v>
      </c>
      <c r="J175" s="148">
        <f>J176</f>
        <v>33288</v>
      </c>
      <c r="K175" s="145">
        <f t="shared" si="7"/>
        <v>0.2381115879828326</v>
      </c>
      <c r="L175" s="86"/>
    </row>
    <row r="176" spans="2:12" s="16" customFormat="1" ht="15.75">
      <c r="B176" s="79"/>
      <c r="C176" s="79"/>
      <c r="D176" s="79"/>
      <c r="E176" s="79"/>
      <c r="F176" s="146" t="s">
        <v>243</v>
      </c>
      <c r="G176" s="146"/>
      <c r="H176" s="152">
        <v>500000</v>
      </c>
      <c r="I176" s="152">
        <v>139800</v>
      </c>
      <c r="J176" s="152">
        <v>33288</v>
      </c>
      <c r="K176" s="145">
        <f t="shared" si="7"/>
        <v>0.2381115879828326</v>
      </c>
      <c r="L176" s="153"/>
    </row>
    <row r="177" spans="1:12" s="178" customFormat="1" ht="30.75" customHeight="1">
      <c r="A177" s="67" t="s">
        <v>244</v>
      </c>
      <c r="B177" s="82"/>
      <c r="C177" s="82"/>
      <c r="D177" s="82"/>
      <c r="E177" s="82"/>
      <c r="F177" s="160"/>
      <c r="G177" s="160"/>
      <c r="H177" s="176">
        <f>SUM(H178)</f>
        <v>2100000</v>
      </c>
      <c r="I177" s="176">
        <f>SUM(I178)</f>
        <v>2057000</v>
      </c>
      <c r="J177" s="176">
        <f>J178</f>
        <v>1314467</v>
      </c>
      <c r="K177" s="177">
        <f t="shared" si="7"/>
        <v>0.6390213903743316</v>
      </c>
      <c r="L177" s="170"/>
    </row>
    <row r="178" spans="1:12" s="52" customFormat="1" ht="15.75">
      <c r="A178" s="52" t="s">
        <v>32</v>
      </c>
      <c r="B178" s="53" t="s">
        <v>245</v>
      </c>
      <c r="C178" s="53"/>
      <c r="D178" s="53"/>
      <c r="E178" s="53"/>
      <c r="F178" s="149"/>
      <c r="G178" s="186"/>
      <c r="H178" s="169">
        <f>SUM(H179)</f>
        <v>2100000</v>
      </c>
      <c r="I178" s="169">
        <f>SUM(I179)</f>
        <v>2057000</v>
      </c>
      <c r="J178" s="169">
        <f>J179</f>
        <v>1314467</v>
      </c>
      <c r="K178" s="179">
        <f t="shared" si="7"/>
        <v>0.6390213903743316</v>
      </c>
      <c r="L178" s="170"/>
    </row>
    <row r="179" spans="2:12" s="16" customFormat="1" ht="15.75">
      <c r="B179" s="79" t="s">
        <v>246</v>
      </c>
      <c r="C179" s="79"/>
      <c r="D179" s="79" t="s">
        <v>247</v>
      </c>
      <c r="E179" s="79"/>
      <c r="F179" s="146"/>
      <c r="G179" s="152"/>
      <c r="H179" s="171">
        <f>SUM(H180:H180)</f>
        <v>2100000</v>
      </c>
      <c r="I179" s="171">
        <f>SUM(I180:I180)</f>
        <v>2057000</v>
      </c>
      <c r="J179" s="171">
        <f>J180</f>
        <v>1314467</v>
      </c>
      <c r="K179" s="179">
        <f t="shared" si="7"/>
        <v>0.6390213903743316</v>
      </c>
      <c r="L179" s="172"/>
    </row>
    <row r="180" spans="2:12" s="16" customFormat="1" ht="15.75">
      <c r="B180" s="79"/>
      <c r="C180" s="79"/>
      <c r="D180" s="79"/>
      <c r="E180" s="79"/>
      <c r="F180" s="146" t="s">
        <v>248</v>
      </c>
      <c r="G180" s="152"/>
      <c r="H180" s="152">
        <v>2100000</v>
      </c>
      <c r="I180" s="152">
        <v>2057000</v>
      </c>
      <c r="J180" s="152">
        <v>1314467</v>
      </c>
      <c r="K180" s="179">
        <f t="shared" si="7"/>
        <v>0.6390213903743316</v>
      </c>
      <c r="L180" s="153"/>
    </row>
    <row r="181" spans="1:12" s="16" customFormat="1" ht="31.5" customHeight="1">
      <c r="A181" s="187" t="s">
        <v>249</v>
      </c>
      <c r="B181" s="49"/>
      <c r="C181" s="49"/>
      <c r="D181" s="49"/>
      <c r="E181" s="49"/>
      <c r="F181" s="160"/>
      <c r="G181" s="160"/>
      <c r="H181" s="161">
        <f>SUM(H182)</f>
        <v>667000</v>
      </c>
      <c r="I181" s="161">
        <f>SUM(I182)</f>
        <v>1690000</v>
      </c>
      <c r="J181" s="161">
        <f>J182</f>
        <v>1689100</v>
      </c>
      <c r="K181" s="162">
        <f t="shared" si="7"/>
        <v>0.9994674556213018</v>
      </c>
      <c r="L181" s="84"/>
    </row>
    <row r="182" spans="1:12" s="16" customFormat="1" ht="15.75">
      <c r="A182" s="52" t="s">
        <v>30</v>
      </c>
      <c r="B182" s="53" t="s">
        <v>31</v>
      </c>
      <c r="C182" s="53"/>
      <c r="D182" s="53"/>
      <c r="E182" s="53"/>
      <c r="F182" s="149"/>
      <c r="G182" s="143"/>
      <c r="H182" s="144">
        <f>SUM(H183,H188)</f>
        <v>667000</v>
      </c>
      <c r="I182" s="144">
        <f>I183+I186+I188</f>
        <v>1690000</v>
      </c>
      <c r="J182" s="144">
        <f>J183+J186+J188</f>
        <v>1689100</v>
      </c>
      <c r="K182" s="145">
        <f t="shared" si="7"/>
        <v>0.9994674556213018</v>
      </c>
      <c r="L182" s="84"/>
    </row>
    <row r="183" spans="2:12" s="16" customFormat="1" ht="15.75">
      <c r="B183" s="79" t="s">
        <v>157</v>
      </c>
      <c r="C183" s="79"/>
      <c r="D183" s="79" t="s">
        <v>158</v>
      </c>
      <c r="E183" s="79"/>
      <c r="F183" s="146"/>
      <c r="G183" s="146"/>
      <c r="H183" s="147">
        <f>SUM(H184)</f>
        <v>525000</v>
      </c>
      <c r="I183" s="147">
        <f>SUM(I184)</f>
        <v>1215000</v>
      </c>
      <c r="J183" s="147">
        <f>J184</f>
        <v>1215000</v>
      </c>
      <c r="K183" s="145">
        <f t="shared" si="7"/>
        <v>1</v>
      </c>
      <c r="L183" s="85"/>
    </row>
    <row r="184" spans="2:12" s="16" customFormat="1" ht="15.75">
      <c r="B184" s="79"/>
      <c r="C184" s="79" t="s">
        <v>162</v>
      </c>
      <c r="D184" s="79" t="s">
        <v>163</v>
      </c>
      <c r="E184" s="79"/>
      <c r="F184" s="146"/>
      <c r="G184" s="146"/>
      <c r="H184" s="148">
        <f>SUM(H185)</f>
        <v>525000</v>
      </c>
      <c r="I184" s="148">
        <v>1215000</v>
      </c>
      <c r="J184" s="148">
        <v>1215000</v>
      </c>
      <c r="K184" s="145">
        <f t="shared" si="7"/>
        <v>1</v>
      </c>
      <c r="L184" s="86"/>
    </row>
    <row r="185" spans="1:12" s="16" customFormat="1" ht="15.75">
      <c r="A185" s="26"/>
      <c r="B185" s="168"/>
      <c r="C185" s="168"/>
      <c r="D185" s="168"/>
      <c r="E185" s="168"/>
      <c r="F185" s="146" t="s">
        <v>166</v>
      </c>
      <c r="G185" s="146"/>
      <c r="H185" s="152">
        <v>525000</v>
      </c>
      <c r="I185" s="152">
        <v>1215000</v>
      </c>
      <c r="J185" s="152">
        <v>1215000</v>
      </c>
      <c r="K185" s="145">
        <f t="shared" si="7"/>
        <v>1</v>
      </c>
      <c r="L185" s="153"/>
    </row>
    <row r="186" spans="2:12" s="16" customFormat="1" ht="15.75">
      <c r="B186" s="79" t="s">
        <v>177</v>
      </c>
      <c r="C186" s="79"/>
      <c r="D186" s="79" t="s">
        <v>178</v>
      </c>
      <c r="E186" s="79"/>
      <c r="F186" s="146"/>
      <c r="G186" s="146"/>
      <c r="H186" s="171"/>
      <c r="I186" s="171">
        <v>115000</v>
      </c>
      <c r="J186" s="171">
        <f>J187</f>
        <v>115000</v>
      </c>
      <c r="K186" s="145"/>
      <c r="L186" s="172"/>
    </row>
    <row r="187" spans="2:12" s="16" customFormat="1" ht="15.75">
      <c r="B187" s="79"/>
      <c r="C187" s="79" t="s">
        <v>186</v>
      </c>
      <c r="D187" s="79" t="s">
        <v>187</v>
      </c>
      <c r="E187" s="79"/>
      <c r="F187" s="146"/>
      <c r="G187" s="146"/>
      <c r="H187" s="148"/>
      <c r="I187" s="148">
        <v>115000</v>
      </c>
      <c r="J187" s="148">
        <v>115000</v>
      </c>
      <c r="K187" s="145"/>
      <c r="L187" s="86"/>
    </row>
    <row r="188" spans="1:12" s="16" customFormat="1" ht="15.75">
      <c r="A188" s="26"/>
      <c r="B188" s="79" t="s">
        <v>196</v>
      </c>
      <c r="C188" s="79"/>
      <c r="D188" s="79" t="s">
        <v>197</v>
      </c>
      <c r="E188" s="79"/>
      <c r="F188" s="146"/>
      <c r="G188" s="146"/>
      <c r="H188" s="147">
        <f>SUM(H189)</f>
        <v>142000</v>
      </c>
      <c r="I188" s="147">
        <v>360000</v>
      </c>
      <c r="J188" s="147">
        <f>J189</f>
        <v>359100</v>
      </c>
      <c r="K188" s="145">
        <f aca="true" t="shared" si="9" ref="K188:K199">J188/I188</f>
        <v>0.9975</v>
      </c>
      <c r="L188" s="85"/>
    </row>
    <row r="189" spans="1:12" s="16" customFormat="1" ht="15.75">
      <c r="A189" s="26"/>
      <c r="B189" s="168"/>
      <c r="C189" s="168" t="s">
        <v>198</v>
      </c>
      <c r="D189" s="168" t="s">
        <v>199</v>
      </c>
      <c r="E189" s="168"/>
      <c r="F189" s="146"/>
      <c r="G189" s="146"/>
      <c r="H189" s="148">
        <v>142000</v>
      </c>
      <c r="I189" s="148">
        <v>360000</v>
      </c>
      <c r="J189" s="148">
        <v>359100</v>
      </c>
      <c r="K189" s="145">
        <f t="shared" si="9"/>
        <v>0.9975</v>
      </c>
      <c r="L189" s="86"/>
    </row>
    <row r="190" spans="1:12" s="178" customFormat="1" ht="31.5" customHeight="1">
      <c r="A190" s="67" t="s">
        <v>250</v>
      </c>
      <c r="B190" s="82"/>
      <c r="C190" s="82"/>
      <c r="D190" s="82"/>
      <c r="E190" s="82"/>
      <c r="F190" s="160"/>
      <c r="G190" s="160"/>
      <c r="H190" s="176">
        <f>SUM(H191)</f>
        <v>120000</v>
      </c>
      <c r="I190" s="176">
        <f>SUM(I191)</f>
        <v>125000</v>
      </c>
      <c r="J190" s="176">
        <f>J191</f>
        <v>52731</v>
      </c>
      <c r="K190" s="177">
        <f t="shared" si="9"/>
        <v>0.421848</v>
      </c>
      <c r="L190" s="170"/>
    </row>
    <row r="191" spans="1:12" s="52" customFormat="1" ht="15.75">
      <c r="A191" s="52" t="s">
        <v>30</v>
      </c>
      <c r="B191" s="53" t="s">
        <v>31</v>
      </c>
      <c r="C191" s="53"/>
      <c r="D191" s="53"/>
      <c r="E191" s="53"/>
      <c r="F191" s="149"/>
      <c r="G191" s="143"/>
      <c r="H191" s="144">
        <f>SUM(H195+H201+H198+H192)</f>
        <v>120000</v>
      </c>
      <c r="I191" s="144">
        <f>SUM(I195+I201+I198+I192)</f>
        <v>125000</v>
      </c>
      <c r="J191" s="144">
        <f>SUM(J195+J201+J198+J192)</f>
        <v>52731</v>
      </c>
      <c r="K191" s="145">
        <f t="shared" si="9"/>
        <v>0.421848</v>
      </c>
      <c r="L191" s="84"/>
    </row>
    <row r="192" spans="2:12" s="16" customFormat="1" ht="15.75">
      <c r="B192" s="79" t="s">
        <v>157</v>
      </c>
      <c r="C192" s="79"/>
      <c r="D192" s="79" t="s">
        <v>158</v>
      </c>
      <c r="E192" s="79"/>
      <c r="F192" s="151"/>
      <c r="G192" s="151"/>
      <c r="H192" s="171">
        <f>SUM(H193)</f>
        <v>10000</v>
      </c>
      <c r="I192" s="171">
        <f>SUM(I193)</f>
        <v>10000</v>
      </c>
      <c r="J192" s="171">
        <v>0</v>
      </c>
      <c r="K192" s="145">
        <f t="shared" si="9"/>
        <v>0</v>
      </c>
      <c r="L192" s="172"/>
    </row>
    <row r="193" spans="2:12" s="16" customFormat="1" ht="15.75">
      <c r="B193" s="79"/>
      <c r="C193" s="79" t="s">
        <v>162</v>
      </c>
      <c r="D193" s="79" t="s">
        <v>237</v>
      </c>
      <c r="E193" s="79"/>
      <c r="F193" s="146"/>
      <c r="G193" s="146"/>
      <c r="H193" s="148">
        <f>SUM(H194:H194)</f>
        <v>10000</v>
      </c>
      <c r="I193" s="148">
        <f>SUM(I194:I194)</f>
        <v>10000</v>
      </c>
      <c r="J193" s="148">
        <v>0</v>
      </c>
      <c r="K193" s="145">
        <f t="shared" si="9"/>
        <v>0</v>
      </c>
      <c r="L193" s="86"/>
    </row>
    <row r="194" spans="1:12" s="16" customFormat="1" ht="15.75">
      <c r="A194" s="52"/>
      <c r="B194" s="78"/>
      <c r="C194" s="78"/>
      <c r="D194" s="154"/>
      <c r="E194" s="154"/>
      <c r="F194" s="146" t="s">
        <v>166</v>
      </c>
      <c r="G194" s="146"/>
      <c r="H194" s="152">
        <v>10000</v>
      </c>
      <c r="I194" s="152">
        <v>10000</v>
      </c>
      <c r="J194" s="152">
        <v>0</v>
      </c>
      <c r="K194" s="145">
        <f t="shared" si="9"/>
        <v>0</v>
      </c>
      <c r="L194" s="153"/>
    </row>
    <row r="195" spans="2:12" s="16" customFormat="1" ht="15.75">
      <c r="B195" s="79" t="s">
        <v>167</v>
      </c>
      <c r="C195" s="79"/>
      <c r="D195" s="79" t="s">
        <v>168</v>
      </c>
      <c r="E195" s="79"/>
      <c r="F195" s="146"/>
      <c r="G195" s="146"/>
      <c r="H195" s="147">
        <f>SUM(H196)</f>
        <v>50000</v>
      </c>
      <c r="I195" s="147">
        <f>SUM(I196)</f>
        <v>50000</v>
      </c>
      <c r="J195" s="147">
        <f>J196</f>
        <v>46224</v>
      </c>
      <c r="K195" s="145">
        <f t="shared" si="9"/>
        <v>0.92448</v>
      </c>
      <c r="L195" s="85"/>
    </row>
    <row r="196" spans="2:12" s="16" customFormat="1" ht="15.75">
      <c r="B196" s="79"/>
      <c r="C196" s="79" t="s">
        <v>169</v>
      </c>
      <c r="D196" s="79" t="s">
        <v>170</v>
      </c>
      <c r="E196" s="79"/>
      <c r="F196" s="146"/>
      <c r="G196" s="146"/>
      <c r="H196" s="148">
        <f>SUM(H197:H197)</f>
        <v>50000</v>
      </c>
      <c r="I196" s="148">
        <f>SUM(I197:I197)</f>
        <v>50000</v>
      </c>
      <c r="J196" s="148">
        <v>46224</v>
      </c>
      <c r="K196" s="145">
        <f t="shared" si="9"/>
        <v>0.92448</v>
      </c>
      <c r="L196" s="86"/>
    </row>
    <row r="197" spans="2:12" s="16" customFormat="1" ht="15.75">
      <c r="B197" s="79"/>
      <c r="C197" s="79"/>
      <c r="D197" s="79"/>
      <c r="E197" s="79"/>
      <c r="F197" s="146" t="s">
        <v>171</v>
      </c>
      <c r="G197" s="146"/>
      <c r="H197" s="152">
        <v>50000</v>
      </c>
      <c r="I197" s="152">
        <v>50000</v>
      </c>
      <c r="J197" s="152">
        <v>46224</v>
      </c>
      <c r="K197" s="145">
        <f t="shared" si="9"/>
        <v>0.92448</v>
      </c>
      <c r="L197" s="153"/>
    </row>
    <row r="198" spans="2:12" s="16" customFormat="1" ht="15.75">
      <c r="B198" s="79" t="s">
        <v>177</v>
      </c>
      <c r="C198" s="79"/>
      <c r="D198" s="79" t="s">
        <v>178</v>
      </c>
      <c r="E198" s="79"/>
      <c r="F198" s="146"/>
      <c r="G198" s="146"/>
      <c r="H198" s="171">
        <f>SUM(H199)</f>
        <v>40000</v>
      </c>
      <c r="I198" s="171">
        <f>SUM(I199:I200)</f>
        <v>45000</v>
      </c>
      <c r="J198" s="171">
        <f>J199+J200</f>
        <v>3300</v>
      </c>
      <c r="K198" s="145">
        <f t="shared" si="9"/>
        <v>0.07333333333333333</v>
      </c>
      <c r="L198" s="172"/>
    </row>
    <row r="199" spans="2:12" s="16" customFormat="1" ht="15.75">
      <c r="B199" s="79"/>
      <c r="C199" s="79" t="s">
        <v>184</v>
      </c>
      <c r="D199" s="79" t="s">
        <v>185</v>
      </c>
      <c r="E199" s="79"/>
      <c r="F199" s="146"/>
      <c r="G199" s="146"/>
      <c r="H199" s="148">
        <v>40000</v>
      </c>
      <c r="I199" s="148">
        <v>40000</v>
      </c>
      <c r="J199" s="148">
        <v>0</v>
      </c>
      <c r="K199" s="145">
        <f t="shared" si="9"/>
        <v>0</v>
      </c>
      <c r="L199" s="86"/>
    </row>
    <row r="200" spans="2:12" s="16" customFormat="1" ht="15.75">
      <c r="B200" s="79"/>
      <c r="C200" s="79" t="s">
        <v>186</v>
      </c>
      <c r="D200" s="79" t="s">
        <v>187</v>
      </c>
      <c r="E200" s="79"/>
      <c r="F200" s="146"/>
      <c r="G200" s="146"/>
      <c r="H200" s="148"/>
      <c r="I200" s="148">
        <v>5000</v>
      </c>
      <c r="J200" s="148">
        <v>3300</v>
      </c>
      <c r="K200" s="145"/>
      <c r="L200" s="86"/>
    </row>
    <row r="201" spans="2:12" s="16" customFormat="1" ht="15.75">
      <c r="B201" s="79" t="s">
        <v>196</v>
      </c>
      <c r="C201" s="79"/>
      <c r="D201" s="79" t="s">
        <v>197</v>
      </c>
      <c r="E201" s="79"/>
      <c r="F201" s="146"/>
      <c r="G201" s="146"/>
      <c r="H201" s="147">
        <f>SUM(H202)</f>
        <v>20000</v>
      </c>
      <c r="I201" s="147">
        <f>SUM(I202)</f>
        <v>20000</v>
      </c>
      <c r="J201" s="147">
        <f>J202</f>
        <v>3207</v>
      </c>
      <c r="K201" s="145">
        <f aca="true" t="shared" si="10" ref="K201:K209">J201/I201</f>
        <v>0.16035</v>
      </c>
      <c r="L201" s="85"/>
    </row>
    <row r="202" spans="2:12" s="16" customFormat="1" ht="15.75">
      <c r="B202" s="79"/>
      <c r="C202" s="79" t="s">
        <v>198</v>
      </c>
      <c r="D202" s="79" t="s">
        <v>199</v>
      </c>
      <c r="E202" s="79"/>
      <c r="F202" s="146"/>
      <c r="G202" s="146"/>
      <c r="H202" s="148">
        <v>20000</v>
      </c>
      <c r="I202" s="148">
        <v>20000</v>
      </c>
      <c r="J202" s="148">
        <v>3207</v>
      </c>
      <c r="K202" s="145">
        <f t="shared" si="10"/>
        <v>0.16035</v>
      </c>
      <c r="L202" s="86"/>
    </row>
    <row r="203" spans="1:12" s="178" customFormat="1" ht="31.5" customHeight="1">
      <c r="A203" s="67" t="s">
        <v>251</v>
      </c>
      <c r="B203" s="82"/>
      <c r="C203" s="82"/>
      <c r="D203" s="82"/>
      <c r="E203" s="82"/>
      <c r="F203" s="160"/>
      <c r="G203" s="160"/>
      <c r="H203" s="176">
        <f>SUM(H204+H221)</f>
        <v>7335000</v>
      </c>
      <c r="I203" s="176">
        <f>SUM(I204+I218+I221)</f>
        <v>5487960</v>
      </c>
      <c r="J203" s="176">
        <f>J204+J218+J221</f>
        <v>1978953</v>
      </c>
      <c r="K203" s="177">
        <f t="shared" si="10"/>
        <v>0.3605990204010233</v>
      </c>
      <c r="L203" s="170"/>
    </row>
    <row r="204" spans="1:12" s="52" customFormat="1" ht="15.75">
      <c r="A204" s="52" t="s">
        <v>30</v>
      </c>
      <c r="B204" s="53" t="s">
        <v>31</v>
      </c>
      <c r="C204" s="53"/>
      <c r="D204" s="53"/>
      <c r="E204" s="53"/>
      <c r="F204" s="149"/>
      <c r="G204" s="143"/>
      <c r="H204" s="144">
        <f>SUM(H205+H208+H216)</f>
        <v>4335000</v>
      </c>
      <c r="I204" s="144">
        <f>SUM(I205+I208+I216)</f>
        <v>3295960</v>
      </c>
      <c r="J204" s="144">
        <f>SUM(J205+J208+J216)</f>
        <v>1948953</v>
      </c>
      <c r="K204" s="145">
        <f t="shared" si="10"/>
        <v>0.5913157319870387</v>
      </c>
      <c r="L204" s="84"/>
    </row>
    <row r="205" spans="2:12" s="16" customFormat="1" ht="15.75">
      <c r="B205" s="79" t="s">
        <v>157</v>
      </c>
      <c r="C205" s="79"/>
      <c r="D205" s="79" t="s">
        <v>158</v>
      </c>
      <c r="E205" s="79"/>
      <c r="F205" s="151"/>
      <c r="G205" s="151"/>
      <c r="H205" s="147">
        <f>SUM(+H206)</f>
        <v>1500000</v>
      </c>
      <c r="I205" s="147">
        <f>SUM(+I206)</f>
        <v>1500000</v>
      </c>
      <c r="J205" s="147">
        <f>J206</f>
        <v>792122</v>
      </c>
      <c r="K205" s="145">
        <f t="shared" si="10"/>
        <v>0.5280813333333333</v>
      </c>
      <c r="L205" s="85"/>
    </row>
    <row r="206" spans="2:12" s="16" customFormat="1" ht="15.75">
      <c r="B206" s="79"/>
      <c r="C206" s="79" t="s">
        <v>162</v>
      </c>
      <c r="D206" s="79" t="s">
        <v>163</v>
      </c>
      <c r="E206" s="79"/>
      <c r="F206" s="146"/>
      <c r="G206" s="146"/>
      <c r="H206" s="148">
        <f>SUM(H207:H207)</f>
        <v>1500000</v>
      </c>
      <c r="I206" s="148">
        <f>SUM(I207:I207)</f>
        <v>1500000</v>
      </c>
      <c r="J206" s="148">
        <v>792122</v>
      </c>
      <c r="K206" s="145">
        <f t="shared" si="10"/>
        <v>0.5280813333333333</v>
      </c>
      <c r="L206" s="86"/>
    </row>
    <row r="207" spans="1:12" s="16" customFormat="1" ht="15.75">
      <c r="A207" s="52"/>
      <c r="B207" s="78"/>
      <c r="C207" s="78"/>
      <c r="D207" s="154"/>
      <c r="E207" s="154"/>
      <c r="F207" s="146" t="s">
        <v>166</v>
      </c>
      <c r="G207" s="146"/>
      <c r="H207" s="152">
        <v>1500000</v>
      </c>
      <c r="I207" s="152">
        <v>1500000</v>
      </c>
      <c r="J207" s="152">
        <v>792122</v>
      </c>
      <c r="K207" s="145">
        <f t="shared" si="10"/>
        <v>0.5280813333333333</v>
      </c>
      <c r="L207" s="153"/>
    </row>
    <row r="208" spans="2:12" s="16" customFormat="1" ht="15.75">
      <c r="B208" s="79" t="s">
        <v>177</v>
      </c>
      <c r="C208" s="79"/>
      <c r="D208" s="79" t="s">
        <v>178</v>
      </c>
      <c r="E208" s="79"/>
      <c r="F208" s="146"/>
      <c r="G208" s="146"/>
      <c r="H208" s="147">
        <f>SUM(H209+H213+H214)</f>
        <v>2185000</v>
      </c>
      <c r="I208" s="147">
        <f>SUM(I209+I213+I214)</f>
        <v>1145960</v>
      </c>
      <c r="J208" s="147">
        <f>J209+J213+J214</f>
        <v>843165</v>
      </c>
      <c r="K208" s="145">
        <f t="shared" si="10"/>
        <v>0.7357717546860274</v>
      </c>
      <c r="L208" s="85"/>
    </row>
    <row r="209" spans="2:12" s="16" customFormat="1" ht="15.75">
      <c r="B209" s="79"/>
      <c r="C209" s="79" t="s">
        <v>179</v>
      </c>
      <c r="D209" s="79" t="s">
        <v>180</v>
      </c>
      <c r="E209" s="79"/>
      <c r="F209" s="146"/>
      <c r="G209" s="146"/>
      <c r="H209" s="148">
        <f>SUM(H210:H212)</f>
        <v>385000</v>
      </c>
      <c r="I209" s="148">
        <v>470000</v>
      </c>
      <c r="J209" s="148">
        <v>461011</v>
      </c>
      <c r="K209" s="145">
        <f t="shared" si="10"/>
        <v>0.9808744680851064</v>
      </c>
      <c r="L209" s="86"/>
    </row>
    <row r="210" spans="2:12" s="16" customFormat="1" ht="15.75">
      <c r="B210" s="79"/>
      <c r="C210" s="79"/>
      <c r="D210" s="79"/>
      <c r="E210" s="79"/>
      <c r="F210" s="146" t="s">
        <v>181</v>
      </c>
      <c r="G210" s="146"/>
      <c r="H210" s="152">
        <v>90000</v>
      </c>
      <c r="I210" s="152"/>
      <c r="J210" s="152"/>
      <c r="K210" s="145"/>
      <c r="L210" s="153"/>
    </row>
    <row r="211" spans="2:12" s="16" customFormat="1" ht="15.75">
      <c r="B211" s="79"/>
      <c r="C211" s="79"/>
      <c r="D211" s="79"/>
      <c r="E211" s="79"/>
      <c r="F211" s="146" t="s">
        <v>182</v>
      </c>
      <c r="G211" s="146"/>
      <c r="H211" s="152">
        <v>265000</v>
      </c>
      <c r="I211" s="152"/>
      <c r="J211" s="152"/>
      <c r="K211" s="145"/>
      <c r="L211" s="159"/>
    </row>
    <row r="212" spans="2:12" s="16" customFormat="1" ht="15.75">
      <c r="B212" s="79"/>
      <c r="C212" s="79"/>
      <c r="D212" s="79"/>
      <c r="E212" s="79"/>
      <c r="F212" s="146" t="s">
        <v>183</v>
      </c>
      <c r="G212" s="146"/>
      <c r="H212" s="152">
        <v>30000</v>
      </c>
      <c r="I212" s="152"/>
      <c r="J212" s="152"/>
      <c r="K212" s="145"/>
      <c r="L212" s="153"/>
    </row>
    <row r="213" spans="2:12" s="16" customFormat="1" ht="15.75">
      <c r="B213" s="79"/>
      <c r="C213" s="79" t="s">
        <v>184</v>
      </c>
      <c r="D213" s="79" t="s">
        <v>185</v>
      </c>
      <c r="E213" s="79"/>
      <c r="F213" s="146"/>
      <c r="G213" s="146"/>
      <c r="H213" s="152">
        <v>300000</v>
      </c>
      <c r="I213" s="152">
        <v>300000</v>
      </c>
      <c r="J213" s="152">
        <v>15000</v>
      </c>
      <c r="K213" s="145">
        <f>J213/I213</f>
        <v>0.05</v>
      </c>
      <c r="L213" s="153"/>
    </row>
    <row r="214" spans="2:12" s="16" customFormat="1" ht="15.75">
      <c r="B214" s="79"/>
      <c r="C214" s="79" t="s">
        <v>186</v>
      </c>
      <c r="D214" s="79" t="s">
        <v>187</v>
      </c>
      <c r="E214" s="79"/>
      <c r="F214" s="146"/>
      <c r="G214" s="146"/>
      <c r="H214" s="148">
        <f>SUM(H215:H215)</f>
        <v>1500000</v>
      </c>
      <c r="I214" s="148">
        <f>SUM(I215:I215)</f>
        <v>375960</v>
      </c>
      <c r="J214" s="148">
        <v>367154</v>
      </c>
      <c r="K214" s="145">
        <f>J214/I214</f>
        <v>0.9765772954569635</v>
      </c>
      <c r="L214" s="86"/>
    </row>
    <row r="215" spans="2:12" s="16" customFormat="1" ht="15.75">
      <c r="B215" s="79"/>
      <c r="C215" s="79"/>
      <c r="D215" s="79"/>
      <c r="E215" s="79"/>
      <c r="F215" s="146" t="s">
        <v>191</v>
      </c>
      <c r="G215" s="146"/>
      <c r="H215" s="152">
        <v>1500000</v>
      </c>
      <c r="I215" s="152">
        <v>375960</v>
      </c>
      <c r="J215" s="152">
        <v>367154</v>
      </c>
      <c r="K215" s="145">
        <f>J215/I215</f>
        <v>0.9765772954569635</v>
      </c>
      <c r="L215" s="153"/>
    </row>
    <row r="216" spans="2:12" s="16" customFormat="1" ht="15.75">
      <c r="B216" s="79" t="s">
        <v>196</v>
      </c>
      <c r="C216" s="79"/>
      <c r="D216" s="79" t="s">
        <v>197</v>
      </c>
      <c r="E216" s="79"/>
      <c r="F216" s="146"/>
      <c r="G216" s="146"/>
      <c r="H216" s="147">
        <f>SUM(H217)</f>
        <v>650000</v>
      </c>
      <c r="I216" s="147">
        <f>SUM(I217)</f>
        <v>650000</v>
      </c>
      <c r="J216" s="147">
        <f>J217</f>
        <v>313666</v>
      </c>
      <c r="K216" s="145">
        <f>J216/I216</f>
        <v>0.48256307692307693</v>
      </c>
      <c r="L216" s="85"/>
    </row>
    <row r="217" spans="1:12" s="16" customFormat="1" ht="15.75">
      <c r="A217" s="26"/>
      <c r="B217" s="168"/>
      <c r="C217" s="168" t="s">
        <v>198</v>
      </c>
      <c r="D217" s="168" t="s">
        <v>199</v>
      </c>
      <c r="E217" s="168"/>
      <c r="F217" s="146"/>
      <c r="G217" s="168"/>
      <c r="H217" s="101">
        <v>650000</v>
      </c>
      <c r="I217" s="101">
        <v>650000</v>
      </c>
      <c r="J217" s="101">
        <v>313666</v>
      </c>
      <c r="K217" s="188">
        <f>J217/I217</f>
        <v>0.48256307692307693</v>
      </c>
      <c r="L217" s="86"/>
    </row>
    <row r="218" spans="1:12" s="52" customFormat="1" ht="15.75">
      <c r="A218" s="52" t="s">
        <v>34</v>
      </c>
      <c r="B218" s="53" t="s">
        <v>35</v>
      </c>
      <c r="C218" s="53"/>
      <c r="D218" s="53"/>
      <c r="E218" s="53"/>
      <c r="F218" s="149"/>
      <c r="G218" s="143"/>
      <c r="H218" s="144"/>
      <c r="I218" s="144">
        <f>I219</f>
        <v>30000</v>
      </c>
      <c r="J218" s="144">
        <f>J219</f>
        <v>30000</v>
      </c>
      <c r="K218" s="145"/>
      <c r="L218" s="84"/>
    </row>
    <row r="219" spans="2:12" s="16" customFormat="1" ht="15.75">
      <c r="B219" s="79"/>
      <c r="C219" s="79" t="s">
        <v>202</v>
      </c>
      <c r="D219" s="79" t="s">
        <v>203</v>
      </c>
      <c r="E219" s="79"/>
      <c r="F219" s="146"/>
      <c r="G219" s="146"/>
      <c r="H219" s="148"/>
      <c r="I219" s="148">
        <v>30000</v>
      </c>
      <c r="J219" s="148">
        <f>J220</f>
        <v>30000</v>
      </c>
      <c r="K219" s="145"/>
      <c r="L219" s="86"/>
    </row>
    <row r="220" spans="2:12" s="16" customFormat="1" ht="15.75">
      <c r="B220" s="79"/>
      <c r="C220" s="79"/>
      <c r="D220" s="79"/>
      <c r="E220" s="79"/>
      <c r="F220" s="146" t="s">
        <v>233</v>
      </c>
      <c r="G220" s="146"/>
      <c r="H220" s="152"/>
      <c r="I220" s="152">
        <v>30000</v>
      </c>
      <c r="J220" s="152">
        <v>30000</v>
      </c>
      <c r="K220" s="145"/>
      <c r="L220" s="153"/>
    </row>
    <row r="221" spans="1:12" s="52" customFormat="1" ht="15.75">
      <c r="A221" s="52" t="s">
        <v>39</v>
      </c>
      <c r="B221" s="53" t="s">
        <v>40</v>
      </c>
      <c r="C221" s="53"/>
      <c r="D221" s="53"/>
      <c r="E221" s="53"/>
      <c r="F221" s="149"/>
      <c r="G221" s="174"/>
      <c r="H221" s="144">
        <f>SUM(H222:H223)</f>
        <v>3000000</v>
      </c>
      <c r="I221" s="144">
        <f>SUM(I222:I223)</f>
        <v>2162000</v>
      </c>
      <c r="J221" s="144">
        <v>0</v>
      </c>
      <c r="K221" s="145">
        <f>J221/I221</f>
        <v>0</v>
      </c>
      <c r="L221" s="84"/>
    </row>
    <row r="222" spans="2:12" s="16" customFormat="1" ht="15.75">
      <c r="B222" s="79" t="s">
        <v>225</v>
      </c>
      <c r="C222" s="79"/>
      <c r="D222" s="79" t="s">
        <v>226</v>
      </c>
      <c r="E222" s="79"/>
      <c r="F222" s="146"/>
      <c r="G222" s="102"/>
      <c r="H222" s="148">
        <v>2365000</v>
      </c>
      <c r="I222" s="148">
        <v>1662000</v>
      </c>
      <c r="J222" s="148"/>
      <c r="K222" s="145">
        <f>J222/I222</f>
        <v>0</v>
      </c>
      <c r="L222" s="86"/>
    </row>
    <row r="223" spans="1:12" s="16" customFormat="1" ht="15.75">
      <c r="A223" s="26"/>
      <c r="B223" s="168" t="s">
        <v>227</v>
      </c>
      <c r="C223" s="168"/>
      <c r="D223" s="168" t="s">
        <v>228</v>
      </c>
      <c r="E223" s="168"/>
      <c r="F223" s="146"/>
      <c r="G223" s="102"/>
      <c r="H223" s="148">
        <v>635000</v>
      </c>
      <c r="I223" s="148">
        <v>500000</v>
      </c>
      <c r="J223" s="148"/>
      <c r="K223" s="145">
        <f>J223/I223</f>
        <v>0</v>
      </c>
      <c r="L223" s="86"/>
    </row>
    <row r="224" spans="1:12" s="52" customFormat="1" ht="30.75" customHeight="1">
      <c r="A224" s="187" t="s">
        <v>252</v>
      </c>
      <c r="B224" s="49"/>
      <c r="C224" s="49"/>
      <c r="D224" s="49"/>
      <c r="E224" s="49"/>
      <c r="F224" s="160"/>
      <c r="G224" s="160"/>
      <c r="H224" s="161">
        <f aca="true" t="shared" si="11" ref="H224:I226">SUM(H225)</f>
        <v>20000</v>
      </c>
      <c r="I224" s="161">
        <f t="shared" si="11"/>
        <v>20000</v>
      </c>
      <c r="J224" s="161">
        <v>0</v>
      </c>
      <c r="K224" s="162"/>
      <c r="L224" s="84"/>
    </row>
    <row r="225" spans="1:12" s="52" customFormat="1" ht="15.75">
      <c r="A225" s="52" t="s">
        <v>34</v>
      </c>
      <c r="B225" s="53" t="s">
        <v>35</v>
      </c>
      <c r="C225" s="53"/>
      <c r="D225" s="53"/>
      <c r="E225" s="53"/>
      <c r="F225" s="149"/>
      <c r="G225" s="143"/>
      <c r="H225" s="144">
        <f t="shared" si="11"/>
        <v>20000</v>
      </c>
      <c r="I225" s="144">
        <f t="shared" si="11"/>
        <v>20000</v>
      </c>
      <c r="J225" s="144">
        <v>0</v>
      </c>
      <c r="K225" s="145">
        <v>0</v>
      </c>
      <c r="L225" s="84"/>
    </row>
    <row r="226" spans="2:12" s="16" customFormat="1" ht="15.75">
      <c r="B226" s="79"/>
      <c r="C226" s="79" t="s">
        <v>207</v>
      </c>
      <c r="D226" s="79" t="s">
        <v>208</v>
      </c>
      <c r="E226" s="79"/>
      <c r="F226" s="146"/>
      <c r="G226" s="102"/>
      <c r="H226" s="148">
        <f t="shared" si="11"/>
        <v>20000</v>
      </c>
      <c r="I226" s="148">
        <f t="shared" si="11"/>
        <v>20000</v>
      </c>
      <c r="J226" s="148"/>
      <c r="K226" s="145"/>
      <c r="L226" s="86"/>
    </row>
    <row r="227" spans="2:12" s="16" customFormat="1" ht="15.75">
      <c r="B227" s="79"/>
      <c r="C227" s="79"/>
      <c r="D227" s="79"/>
      <c r="E227" s="79"/>
      <c r="F227" s="146" t="s">
        <v>253</v>
      </c>
      <c r="G227" s="102"/>
      <c r="H227" s="152">
        <v>20000</v>
      </c>
      <c r="I227" s="152">
        <v>20000</v>
      </c>
      <c r="J227" s="152"/>
      <c r="K227" s="145"/>
      <c r="L227" s="153"/>
    </row>
    <row r="228" spans="1:12" s="52" customFormat="1" ht="30.75" customHeight="1">
      <c r="A228" s="187" t="s">
        <v>254</v>
      </c>
      <c r="B228" s="49"/>
      <c r="C228" s="49"/>
      <c r="D228" s="49"/>
      <c r="E228" s="49"/>
      <c r="F228" s="160"/>
      <c r="G228" s="160"/>
      <c r="H228" s="161">
        <f aca="true" t="shared" si="12" ref="H228:J230">SUM(H229)</f>
        <v>20000</v>
      </c>
      <c r="I228" s="161">
        <f t="shared" si="12"/>
        <v>20000</v>
      </c>
      <c r="J228" s="161">
        <f t="shared" si="12"/>
        <v>20000</v>
      </c>
      <c r="K228" s="162">
        <f aca="true" t="shared" si="13" ref="K228:K236">J228/I228</f>
        <v>1</v>
      </c>
      <c r="L228" s="84"/>
    </row>
    <row r="229" spans="1:12" s="52" customFormat="1" ht="15.75">
      <c r="A229" s="52" t="s">
        <v>34</v>
      </c>
      <c r="B229" s="53" t="s">
        <v>35</v>
      </c>
      <c r="C229" s="53"/>
      <c r="D229" s="53"/>
      <c r="E229" s="53"/>
      <c r="F229" s="149"/>
      <c r="G229" s="143"/>
      <c r="H229" s="144">
        <f t="shared" si="12"/>
        <v>20000</v>
      </c>
      <c r="I229" s="144">
        <f t="shared" si="12"/>
        <v>20000</v>
      </c>
      <c r="J229" s="144">
        <f t="shared" si="12"/>
        <v>20000</v>
      </c>
      <c r="K229" s="163">
        <f t="shared" si="13"/>
        <v>1</v>
      </c>
      <c r="L229" s="84"/>
    </row>
    <row r="230" spans="2:12" s="16" customFormat="1" ht="15.75">
      <c r="B230" s="79"/>
      <c r="C230" s="79" t="s">
        <v>207</v>
      </c>
      <c r="D230" s="79" t="s">
        <v>208</v>
      </c>
      <c r="E230" s="79"/>
      <c r="F230" s="146"/>
      <c r="G230" s="102"/>
      <c r="H230" s="148">
        <f t="shared" si="12"/>
        <v>20000</v>
      </c>
      <c r="I230" s="148">
        <f t="shared" si="12"/>
        <v>20000</v>
      </c>
      <c r="J230" s="148">
        <f t="shared" si="12"/>
        <v>20000</v>
      </c>
      <c r="K230" s="163">
        <f t="shared" si="13"/>
        <v>1</v>
      </c>
      <c r="L230" s="86"/>
    </row>
    <row r="231" spans="2:12" s="16" customFormat="1" ht="15.75">
      <c r="B231" s="79"/>
      <c r="C231" s="79"/>
      <c r="D231" s="79"/>
      <c r="E231" s="79"/>
      <c r="F231" s="146" t="s">
        <v>253</v>
      </c>
      <c r="G231" s="102"/>
      <c r="H231" s="152">
        <v>20000</v>
      </c>
      <c r="I231" s="152">
        <v>20000</v>
      </c>
      <c r="J231" s="152">
        <v>20000</v>
      </c>
      <c r="K231" s="163">
        <f t="shared" si="13"/>
        <v>1</v>
      </c>
      <c r="L231" s="153"/>
    </row>
    <row r="232" spans="1:12" s="52" customFormat="1" ht="28.5" customHeight="1">
      <c r="A232" s="475" t="s">
        <v>87</v>
      </c>
      <c r="B232" s="475"/>
      <c r="C232" s="475"/>
      <c r="D232" s="475"/>
      <c r="E232" s="475"/>
      <c r="F232" s="475"/>
      <c r="G232" s="160"/>
      <c r="H232" s="161"/>
      <c r="I232" s="161">
        <f>SUM(I233,I236)</f>
        <v>2815551</v>
      </c>
      <c r="J232" s="161">
        <f>J233+J235</f>
        <v>2815344</v>
      </c>
      <c r="K232" s="162">
        <f t="shared" si="13"/>
        <v>0.999926479754762</v>
      </c>
      <c r="L232" s="84"/>
    </row>
    <row r="233" spans="1:12" s="52" customFormat="1" ht="15.75">
      <c r="A233" s="52" t="s">
        <v>34</v>
      </c>
      <c r="B233" s="53" t="s">
        <v>35</v>
      </c>
      <c r="C233" s="53"/>
      <c r="D233" s="53"/>
      <c r="E233" s="53"/>
      <c r="F233" s="149"/>
      <c r="G233" s="189"/>
      <c r="H233" s="108"/>
      <c r="I233" s="108">
        <f>SUM(I234)</f>
        <v>331000</v>
      </c>
      <c r="J233" s="108">
        <v>330793</v>
      </c>
      <c r="K233" s="190">
        <f t="shared" si="13"/>
        <v>0.9993746223564954</v>
      </c>
      <c r="L233" s="84"/>
    </row>
    <row r="234" spans="2:12" s="16" customFormat="1" ht="15.75">
      <c r="B234" s="79"/>
      <c r="C234" s="79" t="s">
        <v>255</v>
      </c>
      <c r="D234" s="79" t="s">
        <v>256</v>
      </c>
      <c r="E234" s="79"/>
      <c r="F234" s="146"/>
      <c r="G234" s="191"/>
      <c r="H234" s="101"/>
      <c r="I234" s="101">
        <v>331000</v>
      </c>
      <c r="J234" s="101">
        <v>330793</v>
      </c>
      <c r="K234" s="190">
        <f t="shared" si="13"/>
        <v>0.9993746223564954</v>
      </c>
      <c r="L234" s="86"/>
    </row>
    <row r="235" spans="1:12" s="16" customFormat="1" ht="15.75">
      <c r="A235" s="52" t="s">
        <v>41</v>
      </c>
      <c r="B235" s="78" t="s">
        <v>42</v>
      </c>
      <c r="C235" s="78"/>
      <c r="D235" s="78"/>
      <c r="E235" s="78"/>
      <c r="F235" s="143"/>
      <c r="G235" s="153"/>
      <c r="H235" s="101"/>
      <c r="I235" s="108">
        <f>I236</f>
        <v>2484551</v>
      </c>
      <c r="J235" s="108">
        <f>J236</f>
        <v>2484551</v>
      </c>
      <c r="K235" s="190">
        <f t="shared" si="13"/>
        <v>1</v>
      </c>
      <c r="L235" s="86"/>
    </row>
    <row r="236" spans="2:12" s="16" customFormat="1" ht="15.75">
      <c r="B236" s="79"/>
      <c r="C236" s="79" t="s">
        <v>211</v>
      </c>
      <c r="D236" s="79" t="s">
        <v>212</v>
      </c>
      <c r="E236" s="79"/>
      <c r="F236" s="146"/>
      <c r="G236" s="153"/>
      <c r="H236" s="101"/>
      <c r="I236" s="101">
        <v>2484551</v>
      </c>
      <c r="J236" s="101">
        <v>2484551</v>
      </c>
      <c r="K236" s="190">
        <f t="shared" si="13"/>
        <v>1</v>
      </c>
      <c r="L236" s="86"/>
    </row>
    <row r="237" spans="1:12" s="178" customFormat="1" ht="30.75" customHeight="1">
      <c r="A237" s="67" t="s">
        <v>257</v>
      </c>
      <c r="B237" s="82"/>
      <c r="C237" s="82"/>
      <c r="D237" s="82"/>
      <c r="E237" s="82"/>
      <c r="F237" s="160"/>
      <c r="G237" s="160"/>
      <c r="H237" s="176"/>
      <c r="I237" s="176">
        <f>I238</f>
        <v>43000</v>
      </c>
      <c r="J237" s="176">
        <f>J238</f>
        <v>43000</v>
      </c>
      <c r="K237" s="177"/>
      <c r="L237" s="170"/>
    </row>
    <row r="238" spans="1:12" s="52" customFormat="1" ht="15.75">
      <c r="A238" s="52" t="s">
        <v>32</v>
      </c>
      <c r="B238" s="53" t="s">
        <v>245</v>
      </c>
      <c r="C238" s="53"/>
      <c r="D238" s="53"/>
      <c r="E238" s="53"/>
      <c r="F238" s="149"/>
      <c r="G238" s="186"/>
      <c r="H238" s="169"/>
      <c r="I238" s="169">
        <v>43000</v>
      </c>
      <c r="J238" s="169">
        <f>J239</f>
        <v>43000</v>
      </c>
      <c r="K238" s="179">
        <f aca="true" t="shared" si="14" ref="K238:K249">J238/I238</f>
        <v>1</v>
      </c>
      <c r="L238" s="170"/>
    </row>
    <row r="239" spans="2:12" s="16" customFormat="1" ht="15.75">
      <c r="B239" s="79" t="s">
        <v>246</v>
      </c>
      <c r="C239" s="79"/>
      <c r="D239" s="79" t="s">
        <v>247</v>
      </c>
      <c r="E239" s="79"/>
      <c r="F239" s="146"/>
      <c r="G239" s="152"/>
      <c r="H239" s="171"/>
      <c r="I239" s="148">
        <v>43000</v>
      </c>
      <c r="J239" s="148">
        <f>J240</f>
        <v>43000</v>
      </c>
      <c r="K239" s="184">
        <f t="shared" si="14"/>
        <v>1</v>
      </c>
      <c r="L239" s="172"/>
    </row>
    <row r="240" spans="2:12" s="16" customFormat="1" ht="15.75">
      <c r="B240" s="79"/>
      <c r="C240" s="79"/>
      <c r="D240" s="79"/>
      <c r="E240" s="79"/>
      <c r="F240" s="146" t="s">
        <v>258</v>
      </c>
      <c r="G240" s="152"/>
      <c r="H240" s="152"/>
      <c r="I240" s="152">
        <v>43000</v>
      </c>
      <c r="J240" s="152">
        <v>43000</v>
      </c>
      <c r="K240" s="184">
        <f t="shared" si="14"/>
        <v>1</v>
      </c>
      <c r="L240" s="153"/>
    </row>
    <row r="241" spans="1:12" s="178" customFormat="1" ht="30.75" customHeight="1">
      <c r="A241" s="67" t="s">
        <v>259</v>
      </c>
      <c r="B241" s="82"/>
      <c r="C241" s="82"/>
      <c r="D241" s="82"/>
      <c r="E241" s="82"/>
      <c r="F241" s="192"/>
      <c r="G241" s="185">
        <f>SUM(G9+G140+G160)</f>
        <v>6</v>
      </c>
      <c r="H241" s="176">
        <f>SUM(H9+H61+H67+H97+H114+H122+H133+H140+H160+H177+H190+H203+H58+H93+H173+H118+H181+H224+H228)</f>
        <v>82364000</v>
      </c>
      <c r="I241" s="176">
        <f>SUM(I9+I61+I67+I97+I114+I122+I133+I140+I160+I177+I190+I203+I58+I93+I173+I118+I181+I224+I228+I232+I237)</f>
        <v>94911314</v>
      </c>
      <c r="J241" s="176">
        <f>SUM(J9+J61+J67+J97+J114+J122+J133+J140+J160+J177+J190+J203+J58+J93+J173+J118+J181+J224+J228+J232+J237)</f>
        <v>66830905</v>
      </c>
      <c r="K241" s="177">
        <f t="shared" si="14"/>
        <v>0.7041405516733231</v>
      </c>
      <c r="L241" s="170"/>
    </row>
    <row r="242" spans="1:12" ht="15.75">
      <c r="A242" s="52" t="s">
        <v>26</v>
      </c>
      <c r="B242" s="78" t="s">
        <v>141</v>
      </c>
      <c r="C242" s="78"/>
      <c r="D242" s="78"/>
      <c r="E242" s="78"/>
      <c r="F242" s="143"/>
      <c r="G242" s="69" t="s">
        <v>26</v>
      </c>
      <c r="H242" s="69">
        <f>H10+H141+H161+H68</f>
        <v>12759000</v>
      </c>
      <c r="I242" s="69">
        <f>I10+I141+I161+I68</f>
        <v>14918973</v>
      </c>
      <c r="J242" s="69">
        <f>J10+J141+J161+J68</f>
        <v>13637168</v>
      </c>
      <c r="K242" s="193">
        <f t="shared" si="14"/>
        <v>0.9140822226838269</v>
      </c>
      <c r="L242" s="69"/>
    </row>
    <row r="243" spans="1:12" ht="15.75">
      <c r="A243" s="52" t="s">
        <v>28</v>
      </c>
      <c r="B243" s="53" t="s">
        <v>155</v>
      </c>
      <c r="C243" s="53"/>
      <c r="D243" s="53"/>
      <c r="E243" s="53"/>
      <c r="F243" s="149"/>
      <c r="G243" s="69" t="s">
        <v>28</v>
      </c>
      <c r="H243" s="69">
        <f>H18+H146+H165+H71</f>
        <v>2156000</v>
      </c>
      <c r="I243" s="69">
        <f>I18+I146+I165+I71</f>
        <v>2276119</v>
      </c>
      <c r="J243" s="69">
        <f>J18+J146+J165+J71</f>
        <v>2269178</v>
      </c>
      <c r="K243" s="193">
        <f t="shared" si="14"/>
        <v>0.9969505109355002</v>
      </c>
      <c r="L243" s="69"/>
    </row>
    <row r="244" spans="1:12" ht="15.75">
      <c r="A244" s="52" t="s">
        <v>30</v>
      </c>
      <c r="B244" s="53" t="s">
        <v>31</v>
      </c>
      <c r="C244" s="53"/>
      <c r="D244" s="53"/>
      <c r="E244" s="53"/>
      <c r="F244" s="149"/>
      <c r="G244" s="69" t="s">
        <v>30</v>
      </c>
      <c r="H244" s="69">
        <f>H20+H73+H98+H123+H134+H148+H191+H204+H182</f>
        <v>16147000</v>
      </c>
      <c r="I244" s="69">
        <f>I20+I73+I98+I123+I134+I148+I168+I191+I204+I182</f>
        <v>16818960</v>
      </c>
      <c r="J244" s="69">
        <f>J20+J73+J98+J123+J134+J148+J168+J191+J204+J182</f>
        <v>9158947</v>
      </c>
      <c r="K244" s="193">
        <f t="shared" si="14"/>
        <v>0.5445608408605526</v>
      </c>
      <c r="L244" s="69"/>
    </row>
    <row r="245" spans="1:12" ht="15.75">
      <c r="A245" s="52" t="s">
        <v>32</v>
      </c>
      <c r="B245" s="53" t="s">
        <v>245</v>
      </c>
      <c r="C245" s="53"/>
      <c r="D245" s="53"/>
      <c r="E245" s="53"/>
      <c r="F245" s="149"/>
      <c r="G245" s="69" t="s">
        <v>32</v>
      </c>
      <c r="H245" s="69">
        <f>H178</f>
        <v>2100000</v>
      </c>
      <c r="I245" s="69">
        <f>I178+I238</f>
        <v>2100000</v>
      </c>
      <c r="J245" s="69">
        <f>J178+J238</f>
        <v>1357467</v>
      </c>
      <c r="K245" s="193">
        <f t="shared" si="14"/>
        <v>0.6464128571428571</v>
      </c>
      <c r="L245" s="69"/>
    </row>
    <row r="246" spans="1:12" ht="15.75">
      <c r="A246" s="52" t="s">
        <v>34</v>
      </c>
      <c r="B246" s="53" t="s">
        <v>35</v>
      </c>
      <c r="C246" s="53"/>
      <c r="D246" s="53"/>
      <c r="E246" s="53"/>
      <c r="F246" s="149"/>
      <c r="G246" s="69" t="s">
        <v>34</v>
      </c>
      <c r="H246" s="69">
        <f>H51+H94+H115+H119+H174+H225+H229</f>
        <v>14858000</v>
      </c>
      <c r="I246" s="69">
        <f>I51+I62+I94+I115+I119+I174+I218+I225+I229+I233</f>
        <v>19538617</v>
      </c>
      <c r="J246" s="69">
        <f>J51+J62+J94+J115+J119+J174+J218+J225+J229+J233</f>
        <v>5336212</v>
      </c>
      <c r="K246" s="193">
        <f t="shared" si="14"/>
        <v>0.27311103953775234</v>
      </c>
      <c r="L246" s="69"/>
    </row>
    <row r="247" spans="1:12" ht="15.75">
      <c r="A247" s="52" t="s">
        <v>37</v>
      </c>
      <c r="B247" s="53" t="s">
        <v>38</v>
      </c>
      <c r="C247" s="53"/>
      <c r="D247" s="53"/>
      <c r="E247" s="53"/>
      <c r="F247" s="149"/>
      <c r="G247" s="69" t="s">
        <v>37</v>
      </c>
      <c r="H247" s="69">
        <f>H87+H111</f>
        <v>1150000</v>
      </c>
      <c r="I247" s="69">
        <f>I87+I111</f>
        <v>1150000</v>
      </c>
      <c r="J247" s="69">
        <f>J87+J111</f>
        <v>0</v>
      </c>
      <c r="K247" s="193">
        <f t="shared" si="14"/>
        <v>0</v>
      </c>
      <c r="L247" s="69"/>
    </row>
    <row r="248" spans="1:12" ht="15.75">
      <c r="A248" s="52" t="s">
        <v>39</v>
      </c>
      <c r="B248" s="53" t="s">
        <v>40</v>
      </c>
      <c r="C248" s="53"/>
      <c r="D248" s="53"/>
      <c r="E248" s="53"/>
      <c r="F248" s="149"/>
      <c r="G248" s="69" t="s">
        <v>39</v>
      </c>
      <c r="H248" s="69">
        <f>H221+H90</f>
        <v>9112000</v>
      </c>
      <c r="I248" s="69">
        <f>I221+I90</f>
        <v>9112000</v>
      </c>
      <c r="J248" s="69">
        <f>J221+J90</f>
        <v>6859900</v>
      </c>
      <c r="K248" s="193">
        <f t="shared" si="14"/>
        <v>0.752842405618964</v>
      </c>
      <c r="L248" s="69"/>
    </row>
    <row r="249" spans="1:12" ht="15.75">
      <c r="A249" s="52" t="s">
        <v>41</v>
      </c>
      <c r="B249" s="78" t="s">
        <v>42</v>
      </c>
      <c r="C249" s="78"/>
      <c r="D249" s="78"/>
      <c r="E249" s="78"/>
      <c r="F249" s="143"/>
      <c r="G249" s="69" t="s">
        <v>41</v>
      </c>
      <c r="H249" s="69">
        <f>H64+H59</f>
        <v>24082000</v>
      </c>
      <c r="I249" s="69">
        <f>I59+I64+I235</f>
        <v>28996645</v>
      </c>
      <c r="J249" s="69">
        <f>J59+J64+J235</f>
        <v>28212033</v>
      </c>
      <c r="K249" s="193">
        <f t="shared" si="14"/>
        <v>0.9729412833795082</v>
      </c>
      <c r="L249" s="69"/>
    </row>
    <row r="250" spans="1:12" s="178" customFormat="1" ht="20.25" customHeight="1">
      <c r="A250" s="91" t="s">
        <v>260</v>
      </c>
      <c r="B250" s="194"/>
      <c r="C250" s="194"/>
      <c r="D250" s="194"/>
      <c r="E250" s="194"/>
      <c r="F250" s="195"/>
      <c r="G250" s="195"/>
      <c r="H250" s="196">
        <f>SUM(H242:H249)</f>
        <v>82364000</v>
      </c>
      <c r="I250" s="196">
        <f>SUM(I242:I249)</f>
        <v>94911314</v>
      </c>
      <c r="J250" s="196">
        <f>SUM(J242:J249)</f>
        <v>66830905</v>
      </c>
      <c r="K250" s="197"/>
      <c r="L250" s="64"/>
    </row>
    <row r="251" spans="6:12" ht="15.75">
      <c r="F251" s="198"/>
      <c r="G251" s="198"/>
      <c r="H251" s="198"/>
      <c r="I251" s="64"/>
      <c r="J251" s="58"/>
      <c r="K251" s="198"/>
      <c r="L251" s="198"/>
    </row>
    <row r="252" spans="9:10" ht="15.75">
      <c r="I252" s="450"/>
      <c r="J252" s="58"/>
    </row>
    <row r="253" ht="15.75">
      <c r="I253" s="199"/>
    </row>
    <row r="256" ht="15.75">
      <c r="K256" s="78"/>
    </row>
  </sheetData>
  <sheetProtection selectLockedCells="1" selectUnlockedCells="1"/>
  <mergeCells count="13">
    <mergeCell ref="A9:F9"/>
    <mergeCell ref="A61:F61"/>
    <mergeCell ref="A67:F67"/>
    <mergeCell ref="A97:F97"/>
    <mergeCell ref="A133:F133"/>
    <mergeCell ref="A232:F232"/>
    <mergeCell ref="A2:H2"/>
    <mergeCell ref="A3:K3"/>
    <mergeCell ref="A4:K4"/>
    <mergeCell ref="A5:K5"/>
    <mergeCell ref="A7:F8"/>
    <mergeCell ref="G7:G8"/>
    <mergeCell ref="A1:K1"/>
  </mergeCells>
  <printOptions gridLines="1" headings="1" horizontalCentered="1"/>
  <pageMargins left="0.27569444444444446" right="0.27569444444444446" top="0.7875" bottom="0.7875" header="0.5118055555555555" footer="0.5118055555555555"/>
  <pageSetup horizontalDpi="600" verticalDpi="600" orientation="portrait" paperSize="9" scale="55" r:id="rId1"/>
  <headerFooter alignWithMargins="0">
    <oddFooter>&amp;C&amp;P. oldal, összesen: &amp;N</oddFooter>
  </headerFooter>
  <rowBreaks count="3" manualBreakCount="3">
    <brk id="66" max="255" man="1"/>
    <brk id="121" max="255" man="1"/>
    <brk id="18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32"/>
  <sheetViews>
    <sheetView zoomScale="90" zoomScaleNormal="90" zoomScaleSheetLayoutView="110" zoomScalePageLayoutView="0" workbookViewId="0" topLeftCell="A1">
      <selection activeCell="A1" sqref="A1:E1"/>
    </sheetView>
  </sheetViews>
  <sheetFormatPr defaultColWidth="9.140625" defaultRowHeight="12.75"/>
  <cols>
    <col min="1" max="1" width="82.00390625" style="451" customWidth="1"/>
    <col min="2" max="2" width="12.421875" style="451" customWidth="1"/>
    <col min="3" max="3" width="11.57421875" style="451" customWidth="1"/>
    <col min="4" max="4" width="15.8515625" style="451" customWidth="1"/>
    <col min="5" max="5" width="13.8515625" style="451" customWidth="1"/>
    <col min="6" max="16384" width="9.140625" style="451" customWidth="1"/>
  </cols>
  <sheetData>
    <row r="1" spans="1:5" ht="15.75">
      <c r="A1" s="469" t="s">
        <v>578</v>
      </c>
      <c r="B1" s="469"/>
      <c r="C1" s="469"/>
      <c r="D1" s="469"/>
      <c r="E1" s="469"/>
    </row>
    <row r="2" spans="1:5" ht="15.75">
      <c r="A2" s="469"/>
      <c r="B2" s="469"/>
      <c r="C2" s="469"/>
      <c r="D2" s="469"/>
      <c r="E2" s="469"/>
    </row>
    <row r="3" spans="1:5" ht="24" customHeight="1">
      <c r="A3" s="476" t="s">
        <v>261</v>
      </c>
      <c r="B3" s="476"/>
      <c r="C3" s="476"/>
      <c r="D3" s="476"/>
      <c r="E3" s="476"/>
    </row>
    <row r="4" spans="1:5" ht="25.5" customHeight="1">
      <c r="A4" s="476" t="s">
        <v>262</v>
      </c>
      <c r="B4" s="476"/>
      <c r="C4" s="476"/>
      <c r="D4" s="476"/>
      <c r="E4" s="476"/>
    </row>
    <row r="5" spans="1:5" ht="47.25">
      <c r="A5" s="200" t="s">
        <v>263</v>
      </c>
      <c r="B5" s="119" t="s">
        <v>129</v>
      </c>
      <c r="C5" s="119" t="s">
        <v>130</v>
      </c>
      <c r="D5" s="119" t="s">
        <v>131</v>
      </c>
      <c r="E5" s="119" t="s">
        <v>132</v>
      </c>
    </row>
    <row r="6" spans="1:5" ht="15.75">
      <c r="A6" s="125" t="s">
        <v>264</v>
      </c>
      <c r="B6" s="201">
        <f>'5.kiadás'!J122</f>
        <v>453591</v>
      </c>
      <c r="C6" s="202">
        <v>0</v>
      </c>
      <c r="D6" s="202">
        <v>0</v>
      </c>
      <c r="E6" s="202">
        <f aca="true" t="shared" si="0" ref="E6:E27">SUM(B6:D6)</f>
        <v>453591</v>
      </c>
    </row>
    <row r="7" spans="1:5" ht="15.75">
      <c r="A7" s="123" t="s">
        <v>265</v>
      </c>
      <c r="B7" s="201">
        <f>'5.kiadás'!J9</f>
        <v>13712675</v>
      </c>
      <c r="C7" s="202">
        <v>0</v>
      </c>
      <c r="D7" s="202">
        <v>0</v>
      </c>
      <c r="E7" s="202">
        <f t="shared" si="0"/>
        <v>13712675</v>
      </c>
    </row>
    <row r="8" spans="1:5" ht="15.75">
      <c r="A8" s="123" t="s">
        <v>86</v>
      </c>
      <c r="B8" s="201">
        <f>'5.kiadás'!J97</f>
        <v>14916</v>
      </c>
      <c r="C8" s="202">
        <v>0</v>
      </c>
      <c r="D8" s="202">
        <v>0</v>
      </c>
      <c r="E8" s="202">
        <f t="shared" si="0"/>
        <v>14916</v>
      </c>
    </row>
    <row r="9" spans="1:5" ht="15.75">
      <c r="A9" s="123" t="s">
        <v>114</v>
      </c>
      <c r="B9" s="201">
        <f>'5.kiadás'!J58</f>
        <v>1237663</v>
      </c>
      <c r="C9" s="202">
        <v>0</v>
      </c>
      <c r="D9" s="202">
        <v>0</v>
      </c>
      <c r="E9" s="202">
        <f t="shared" si="0"/>
        <v>1237663</v>
      </c>
    </row>
    <row r="10" spans="1:5" ht="15.75">
      <c r="A10" s="123" t="s">
        <v>60</v>
      </c>
      <c r="B10" s="201">
        <f>'5.kiadás'!J61-24489819</f>
        <v>864755</v>
      </c>
      <c r="C10" s="202">
        <v>0</v>
      </c>
      <c r="D10" s="202">
        <v>0</v>
      </c>
      <c r="E10" s="202">
        <f t="shared" si="0"/>
        <v>864755</v>
      </c>
    </row>
    <row r="11" spans="1:5" ht="15.75">
      <c r="A11" s="123" t="s">
        <v>266</v>
      </c>
      <c r="B11" s="201">
        <f>'5.kiadás'!J133</f>
        <v>651635</v>
      </c>
      <c r="C11" s="202">
        <v>0</v>
      </c>
      <c r="D11" s="202">
        <v>0</v>
      </c>
      <c r="E11" s="202">
        <f t="shared" si="0"/>
        <v>651635</v>
      </c>
    </row>
    <row r="12" spans="1:5" ht="15.75">
      <c r="A12" s="123" t="s">
        <v>134</v>
      </c>
      <c r="B12" s="201">
        <f>'5.kiadás'!J67</f>
        <v>8494887</v>
      </c>
      <c r="C12" s="202">
        <v>0</v>
      </c>
      <c r="D12" s="202">
        <v>0</v>
      </c>
      <c r="E12" s="202">
        <f t="shared" si="0"/>
        <v>8494887</v>
      </c>
    </row>
    <row r="13" spans="1:5" ht="15.75">
      <c r="A13" s="123" t="s">
        <v>267</v>
      </c>
      <c r="B13" s="201">
        <f>'5.kiadás'!J93</f>
        <v>292848</v>
      </c>
      <c r="C13" s="202">
        <v>0</v>
      </c>
      <c r="D13" s="202">
        <v>0</v>
      </c>
      <c r="E13" s="202">
        <f t="shared" si="0"/>
        <v>292848</v>
      </c>
    </row>
    <row r="14" spans="1:5" ht="15.75">
      <c r="A14" s="125" t="s">
        <v>268</v>
      </c>
      <c r="B14" s="201">
        <f>'5.kiadás'!J114</f>
        <v>0</v>
      </c>
      <c r="C14" s="202">
        <v>0</v>
      </c>
      <c r="D14" s="202">
        <v>0</v>
      </c>
      <c r="E14" s="202">
        <f t="shared" si="0"/>
        <v>0</v>
      </c>
    </row>
    <row r="15" spans="1:8" s="52" customFormat="1" ht="16.5" customHeight="1">
      <c r="A15" s="52" t="s">
        <v>234</v>
      </c>
      <c r="B15" s="201">
        <f>'5.kiadás'!J118</f>
        <v>0</v>
      </c>
      <c r="C15" s="95">
        <v>0</v>
      </c>
      <c r="D15" s="95">
        <v>0</v>
      </c>
      <c r="E15" s="201">
        <f t="shared" si="0"/>
        <v>0</v>
      </c>
      <c r="F15" s="203"/>
      <c r="G15" s="203"/>
      <c r="H15" s="204"/>
    </row>
    <row r="16" spans="1:5" ht="15.75">
      <c r="A16" s="125" t="s">
        <v>242</v>
      </c>
      <c r="B16" s="202">
        <f>'5.kiadás'!J173</f>
        <v>33288</v>
      </c>
      <c r="C16" s="202">
        <v>0</v>
      </c>
      <c r="D16" s="202">
        <v>0</v>
      </c>
      <c r="E16" s="202">
        <f t="shared" si="0"/>
        <v>33288</v>
      </c>
    </row>
    <row r="17" spans="1:5" ht="15.75">
      <c r="A17" s="125" t="s">
        <v>244</v>
      </c>
      <c r="B17" s="205">
        <f>'5.kiadás'!J177</f>
        <v>1314467</v>
      </c>
      <c r="C17" s="205">
        <v>0</v>
      </c>
      <c r="D17" s="205">
        <v>0</v>
      </c>
      <c r="E17" s="205">
        <f t="shared" si="0"/>
        <v>1314467</v>
      </c>
    </row>
    <row r="18" spans="1:5" ht="15.75">
      <c r="A18" s="125" t="s">
        <v>239</v>
      </c>
      <c r="B18" s="205">
        <f>'5.kiadás'!J140</f>
        <v>4112427</v>
      </c>
      <c r="C18" s="206">
        <v>0</v>
      </c>
      <c r="D18" s="206">
        <v>0</v>
      </c>
      <c r="E18" s="206">
        <f t="shared" si="0"/>
        <v>4112427</v>
      </c>
    </row>
    <row r="19" spans="1:5" ht="15.75">
      <c r="A19" s="125" t="s">
        <v>116</v>
      </c>
      <c r="B19" s="205">
        <f>'5.kiadás'!J160+'12.Idősek Otthona kiadás'!I55</f>
        <v>5652140</v>
      </c>
      <c r="C19" s="206">
        <v>0</v>
      </c>
      <c r="D19" s="206">
        <v>0</v>
      </c>
      <c r="E19" s="206">
        <f t="shared" si="0"/>
        <v>5652140</v>
      </c>
    </row>
    <row r="20" spans="1:5" ht="15.75">
      <c r="A20" s="125" t="s">
        <v>249</v>
      </c>
      <c r="B20" s="205">
        <f>'5.kiadás'!J181</f>
        <v>1689100</v>
      </c>
      <c r="C20" s="206">
        <v>0</v>
      </c>
      <c r="D20" s="206">
        <v>0</v>
      </c>
      <c r="E20" s="206">
        <f t="shared" si="0"/>
        <v>1689100</v>
      </c>
    </row>
    <row r="21" spans="1:5" ht="15.75">
      <c r="A21" s="125" t="s">
        <v>252</v>
      </c>
      <c r="B21" s="205">
        <f>'5.kiadás'!J224</f>
        <v>0</v>
      </c>
      <c r="C21" s="206">
        <v>0</v>
      </c>
      <c r="D21" s="206">
        <v>0</v>
      </c>
      <c r="E21" s="206">
        <f t="shared" si="0"/>
        <v>0</v>
      </c>
    </row>
    <row r="22" spans="1:5" ht="15.75">
      <c r="A22" s="125" t="s">
        <v>254</v>
      </c>
      <c r="B22" s="205">
        <f>'5.kiadás'!J228</f>
        <v>20000</v>
      </c>
      <c r="C22" s="206">
        <v>0</v>
      </c>
      <c r="D22" s="206">
        <v>0</v>
      </c>
      <c r="E22" s="206">
        <f t="shared" si="0"/>
        <v>20000</v>
      </c>
    </row>
    <row r="23" spans="1:5" ht="15.75">
      <c r="A23" s="125" t="s">
        <v>87</v>
      </c>
      <c r="B23" s="206">
        <f>'5.kiadás'!J232</f>
        <v>2815344</v>
      </c>
      <c r="C23" s="206">
        <v>0</v>
      </c>
      <c r="D23" s="206">
        <v>0</v>
      </c>
      <c r="E23" s="206">
        <f t="shared" si="0"/>
        <v>2815344</v>
      </c>
    </row>
    <row r="24" spans="1:5" ht="15.75">
      <c r="A24" s="125" t="s">
        <v>250</v>
      </c>
      <c r="B24" s="206">
        <v>0</v>
      </c>
      <c r="C24" s="206">
        <f>'5.kiadás'!J190</f>
        <v>52731</v>
      </c>
      <c r="D24" s="206">
        <v>0</v>
      </c>
      <c r="E24" s="206">
        <f t="shared" si="0"/>
        <v>52731</v>
      </c>
    </row>
    <row r="25" spans="1:5" ht="15.75">
      <c r="A25" s="125" t="s">
        <v>269</v>
      </c>
      <c r="B25" s="206">
        <v>0</v>
      </c>
      <c r="C25" s="206">
        <f>'5.kiadás'!J203</f>
        <v>1978953</v>
      </c>
      <c r="D25" s="206">
        <v>0</v>
      </c>
      <c r="E25" s="206">
        <f t="shared" si="0"/>
        <v>1978953</v>
      </c>
    </row>
    <row r="26" spans="1:5" ht="15.75">
      <c r="A26" s="125" t="s">
        <v>135</v>
      </c>
      <c r="B26" s="206">
        <v>0</v>
      </c>
      <c r="C26" s="206">
        <f>'12.Idősek Otthona kiadás'!I7</f>
        <v>48776254</v>
      </c>
      <c r="D26" s="206">
        <v>0</v>
      </c>
      <c r="E26" s="206">
        <f t="shared" si="0"/>
        <v>48776254</v>
      </c>
    </row>
    <row r="27" spans="1:5" ht="15.75">
      <c r="A27" s="125" t="s">
        <v>257</v>
      </c>
      <c r="B27" s="206">
        <f>'5.kiadás'!J237</f>
        <v>43000</v>
      </c>
      <c r="C27" s="206">
        <v>0</v>
      </c>
      <c r="D27" s="206">
        <v>0</v>
      </c>
      <c r="E27" s="206">
        <f t="shared" si="0"/>
        <v>43000</v>
      </c>
    </row>
    <row r="28" spans="1:5" ht="21" customHeight="1">
      <c r="A28" s="133" t="s">
        <v>136</v>
      </c>
      <c r="B28" s="134">
        <f>SUM(B6:B27)</f>
        <v>41402736</v>
      </c>
      <c r="C28" s="134">
        <f>SUM(C6:C27)</f>
        <v>50807938</v>
      </c>
      <c r="D28" s="134">
        <f>SUM(D6:D27)</f>
        <v>0</v>
      </c>
      <c r="E28" s="135">
        <f>SUM(E6:E27)</f>
        <v>92210674</v>
      </c>
    </row>
    <row r="29" ht="12.75">
      <c r="E29" s="451" t="s">
        <v>270</v>
      </c>
    </row>
    <row r="30" spans="2:5" ht="12.75">
      <c r="B30" s="452"/>
      <c r="E30" s="453"/>
    </row>
    <row r="31" spans="4:5" ht="12.75">
      <c r="D31" s="452"/>
      <c r="E31" s="453"/>
    </row>
    <row r="32" ht="12.75">
      <c r="E32" s="207"/>
    </row>
  </sheetData>
  <sheetProtection selectLockedCells="1" selectUnlockedCells="1"/>
  <mergeCells count="4">
    <mergeCell ref="A1:E1"/>
    <mergeCell ref="A2:E2"/>
    <mergeCell ref="A3:E3"/>
    <mergeCell ref="A4:E4"/>
  </mergeCells>
  <printOptions gridLines="1" headings="1"/>
  <pageMargins left="0.75" right="0.75" top="1" bottom="1" header="0.5118055555555555" footer="0.5118055555555555"/>
  <pageSetup horizontalDpi="300" verticalDpi="3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0"/>
  <sheetViews>
    <sheetView zoomScaleSheetLayoutView="110" zoomScalePageLayoutView="0" workbookViewId="0" topLeftCell="A1">
      <selection activeCell="A1" sqref="A1:H1"/>
    </sheetView>
  </sheetViews>
  <sheetFormatPr defaultColWidth="10.28125" defaultRowHeight="12.75"/>
  <cols>
    <col min="1" max="1" width="4.28125" style="208" customWidth="1"/>
    <col min="2" max="2" width="46.421875" style="208" customWidth="1"/>
    <col min="3" max="3" width="14.28125" style="208" customWidth="1"/>
    <col min="4" max="4" width="13.28125" style="208" customWidth="1"/>
    <col min="5" max="6" width="13.8515625" style="208" customWidth="1"/>
    <col min="7" max="7" width="14.7109375" style="208" customWidth="1"/>
    <col min="8" max="8" width="10.7109375" style="208" customWidth="1"/>
    <col min="9" max="16384" width="10.28125" style="208" customWidth="1"/>
  </cols>
  <sheetData>
    <row r="1" spans="1:8" ht="15.75">
      <c r="A1" s="477" t="s">
        <v>579</v>
      </c>
      <c r="B1" s="477"/>
      <c r="C1" s="477"/>
      <c r="D1" s="477"/>
      <c r="E1" s="477"/>
      <c r="F1" s="477"/>
      <c r="G1" s="477"/>
      <c r="H1" s="477"/>
    </row>
    <row r="2" spans="1:5" ht="15.75" customHeight="1">
      <c r="A2" s="477"/>
      <c r="B2" s="477"/>
      <c r="C2" s="477"/>
      <c r="D2" s="477"/>
      <c r="E2" s="477"/>
    </row>
    <row r="3" spans="1:5" ht="24" customHeight="1">
      <c r="A3" s="478" t="s">
        <v>0</v>
      </c>
      <c r="B3" s="478"/>
      <c r="C3" s="478"/>
      <c r="D3" s="478"/>
      <c r="E3" s="478"/>
    </row>
    <row r="4" spans="1:5" ht="24" customHeight="1">
      <c r="A4" s="478" t="s">
        <v>271</v>
      </c>
      <c r="B4" s="478"/>
      <c r="C4" s="478"/>
      <c r="D4" s="478"/>
      <c r="E4" s="478"/>
    </row>
    <row r="5" spans="2:4" ht="15.75">
      <c r="B5" s="209"/>
      <c r="C5" s="454"/>
      <c r="D5" s="454"/>
    </row>
    <row r="6" spans="1:8" ht="61.5" customHeight="1">
      <c r="A6" s="479" t="s">
        <v>272</v>
      </c>
      <c r="B6" s="479"/>
      <c r="C6" s="210" t="s">
        <v>273</v>
      </c>
      <c r="D6" s="210" t="s">
        <v>274</v>
      </c>
      <c r="E6" s="210" t="s">
        <v>275</v>
      </c>
      <c r="F6" s="210" t="s">
        <v>276</v>
      </c>
      <c r="G6" s="47" t="s">
        <v>277</v>
      </c>
      <c r="H6" s="48" t="s">
        <v>278</v>
      </c>
    </row>
    <row r="7" spans="1:8" ht="15.75">
      <c r="A7" s="211" t="s">
        <v>11</v>
      </c>
      <c r="B7" s="212" t="s">
        <v>12</v>
      </c>
      <c r="C7" s="122">
        <v>46959801</v>
      </c>
      <c r="D7" s="122">
        <v>50778671</v>
      </c>
      <c r="E7" s="122">
        <v>43498112</v>
      </c>
      <c r="F7" s="122">
        <f>'1.mérleg'!D9</f>
        <v>53018119</v>
      </c>
      <c r="G7" s="122">
        <f>'1.mérleg'!E9</f>
        <v>52007598</v>
      </c>
      <c r="H7" s="213">
        <f aca="true" t="shared" si="0" ref="H7:H12">G7/F7</f>
        <v>0.98094008201234</v>
      </c>
    </row>
    <row r="8" spans="1:10" ht="15.75">
      <c r="A8" s="214" t="s">
        <v>13</v>
      </c>
      <c r="B8" s="215" t="s">
        <v>14</v>
      </c>
      <c r="C8" s="124">
        <v>4180821</v>
      </c>
      <c r="D8" s="124">
        <v>9361284</v>
      </c>
      <c r="E8" s="124">
        <f>'3.bevétel jogc.'!F30</f>
        <v>8480000</v>
      </c>
      <c r="F8" s="124">
        <f>'3.bevétel jogc.'!G30</f>
        <v>12185239</v>
      </c>
      <c r="G8" s="124">
        <f>'1.mérleg'!E10</f>
        <v>12185239</v>
      </c>
      <c r="H8" s="213">
        <f t="shared" si="0"/>
        <v>1</v>
      </c>
      <c r="J8" s="216"/>
    </row>
    <row r="9" spans="1:10" ht="15.75">
      <c r="A9" s="214" t="s">
        <v>15</v>
      </c>
      <c r="B9" s="215" t="s">
        <v>16</v>
      </c>
      <c r="C9" s="124">
        <v>19631025</v>
      </c>
      <c r="D9" s="124">
        <v>20794513</v>
      </c>
      <c r="E9" s="124">
        <f>'11.Idősek Otthona bevétel'!F9+'3.bevétel jogc.'!F43</f>
        <v>23189807</v>
      </c>
      <c r="F9" s="124">
        <f>'1.mérleg'!D11</f>
        <v>23572142</v>
      </c>
      <c r="G9" s="124">
        <f>'1.mérleg'!E11</f>
        <v>22959254</v>
      </c>
      <c r="H9" s="213">
        <f t="shared" si="0"/>
        <v>0.9739994778582277</v>
      </c>
      <c r="J9" s="216"/>
    </row>
    <row r="10" spans="1:10" ht="15.75">
      <c r="A10" s="214" t="s">
        <v>17</v>
      </c>
      <c r="B10" s="215" t="s">
        <v>18</v>
      </c>
      <c r="C10" s="217">
        <v>5000</v>
      </c>
      <c r="D10" s="217">
        <v>139000</v>
      </c>
      <c r="E10" s="217">
        <f>'3.bevétel jogc.'!F47</f>
        <v>5000</v>
      </c>
      <c r="F10" s="217">
        <f>'1.mérleg'!D12</f>
        <v>100000</v>
      </c>
      <c r="G10" s="217">
        <f>'1.mérleg'!E12</f>
        <v>100000</v>
      </c>
      <c r="H10" s="213">
        <f t="shared" si="0"/>
        <v>1</v>
      </c>
      <c r="J10" s="216"/>
    </row>
    <row r="11" spans="1:8" ht="15.75">
      <c r="A11" s="214" t="s">
        <v>22</v>
      </c>
      <c r="B11" s="218" t="s">
        <v>23</v>
      </c>
      <c r="C11" s="217">
        <v>17617146</v>
      </c>
      <c r="D11" s="217">
        <v>23611876</v>
      </c>
      <c r="E11" s="217">
        <f>'11.Idősek Otthona bevétel'!F16+'3.bevétel jogc.'!F49</f>
        <v>26845069</v>
      </c>
      <c r="F11" s="217">
        <f>'1.mérleg'!D15</f>
        <v>26845069</v>
      </c>
      <c r="G11" s="217">
        <f>'1.mérleg'!E15</f>
        <v>27141310</v>
      </c>
      <c r="H11" s="213">
        <f t="shared" si="0"/>
        <v>1.0110352109730096</v>
      </c>
    </row>
    <row r="12" spans="1:8" ht="15.75">
      <c r="A12" s="219"/>
      <c r="B12" s="220" t="s">
        <v>279</v>
      </c>
      <c r="C12" s="221">
        <f>SUM(C7:C11)</f>
        <v>88393793</v>
      </c>
      <c r="D12" s="221">
        <f>SUM(D7:D11)</f>
        <v>104685344</v>
      </c>
      <c r="E12" s="221">
        <f>SUM(E7:E11)</f>
        <v>102017988</v>
      </c>
      <c r="F12" s="221">
        <f>SUM(F7:F11)</f>
        <v>115720569</v>
      </c>
      <c r="G12" s="221">
        <f>SUM(G7:G11)</f>
        <v>114393401</v>
      </c>
      <c r="H12" s="222">
        <f t="shared" si="0"/>
        <v>0.9885312696656374</v>
      </c>
    </row>
    <row r="13" spans="1:8" ht="15.75">
      <c r="A13" s="211"/>
      <c r="B13" s="223"/>
      <c r="C13" s="211"/>
      <c r="D13" s="211"/>
      <c r="E13" s="211"/>
      <c r="F13" s="211"/>
      <c r="G13" s="211"/>
      <c r="H13" s="224"/>
    </row>
    <row r="14" spans="1:9" ht="15.75">
      <c r="A14" s="214" t="s">
        <v>26</v>
      </c>
      <c r="B14" s="218" t="s">
        <v>141</v>
      </c>
      <c r="C14" s="124">
        <v>31822644</v>
      </c>
      <c r="D14" s="124">
        <v>35609814</v>
      </c>
      <c r="E14" s="124">
        <f>'5.kiadás'!H242+'12.Idősek Otthona kiadás'!G8</f>
        <v>36599000</v>
      </c>
      <c r="F14" s="124">
        <f>'1.mérleg'!D18</f>
        <v>42024977</v>
      </c>
      <c r="G14" s="124">
        <f>'1.mérleg'!E18</f>
        <v>40173887</v>
      </c>
      <c r="H14" s="225">
        <f aca="true" t="shared" si="1" ref="H14:H20">G14/F14</f>
        <v>0.9559526231269562</v>
      </c>
      <c r="I14" s="216"/>
    </row>
    <row r="15" spans="1:9" ht="15.75">
      <c r="A15" s="214" t="s">
        <v>28</v>
      </c>
      <c r="B15" s="218" t="s">
        <v>280</v>
      </c>
      <c r="C15" s="124">
        <v>8005879</v>
      </c>
      <c r="D15" s="124">
        <v>7989391</v>
      </c>
      <c r="E15" s="124">
        <f>'12.Idősek Otthona kiadás'!G15+'5.kiadás'!H243</f>
        <v>6806000</v>
      </c>
      <c r="F15" s="124">
        <f>'1.mérleg'!D19</f>
        <v>7624273</v>
      </c>
      <c r="G15" s="124">
        <f>'1.mérleg'!E19</f>
        <v>7617332</v>
      </c>
      <c r="H15" s="225">
        <f t="shared" si="1"/>
        <v>0.9990896181183438</v>
      </c>
      <c r="I15" s="216"/>
    </row>
    <row r="16" spans="1:9" ht="15.75">
      <c r="A16" s="214" t="s">
        <v>30</v>
      </c>
      <c r="B16" s="218" t="s">
        <v>281</v>
      </c>
      <c r="C16" s="124">
        <v>23006345</v>
      </c>
      <c r="D16" s="124">
        <v>24585373</v>
      </c>
      <c r="E16" s="124">
        <f>'5.kiadás'!H244+'12.Idősek Otthona kiadás'!G18</f>
        <v>33748000</v>
      </c>
      <c r="F16" s="124">
        <f>'1.mérleg'!D20</f>
        <v>35654874</v>
      </c>
      <c r="G16" s="124">
        <f>'1.mérleg'!E20</f>
        <v>26807661</v>
      </c>
      <c r="H16" s="225">
        <f t="shared" si="1"/>
        <v>0.7518652569070922</v>
      </c>
      <c r="I16" s="216"/>
    </row>
    <row r="17" spans="1:9" ht="15.75">
      <c r="A17" s="214" t="s">
        <v>32</v>
      </c>
      <c r="B17" s="218" t="s">
        <v>282</v>
      </c>
      <c r="C17" s="124">
        <v>1793839</v>
      </c>
      <c r="D17" s="124">
        <v>1677252</v>
      </c>
      <c r="E17" s="124">
        <f>'5.kiadás'!H245</f>
        <v>2100000</v>
      </c>
      <c r="F17" s="124">
        <f>'1.mérleg'!D21</f>
        <v>2100000</v>
      </c>
      <c r="G17" s="124">
        <f>'1.mérleg'!E21</f>
        <v>1357467</v>
      </c>
      <c r="H17" s="225">
        <f t="shared" si="1"/>
        <v>0.6464128571428571</v>
      </c>
      <c r="I17" s="216"/>
    </row>
    <row r="18" spans="1:9" ht="15.75">
      <c r="A18" s="214" t="s">
        <v>34</v>
      </c>
      <c r="B18" s="226" t="s">
        <v>35</v>
      </c>
      <c r="C18" s="124">
        <v>3001201</v>
      </c>
      <c r="D18" s="124">
        <v>4027209</v>
      </c>
      <c r="E18" s="124">
        <f>'5.kiadás'!H246</f>
        <v>14858000</v>
      </c>
      <c r="F18" s="124">
        <f>'1.mérleg'!D22</f>
        <v>19538617</v>
      </c>
      <c r="G18" s="124">
        <f>'1.mérleg'!E22</f>
        <v>5336212</v>
      </c>
      <c r="H18" s="225">
        <f t="shared" si="1"/>
        <v>0.27311103953775234</v>
      </c>
      <c r="I18" s="216"/>
    </row>
    <row r="19" spans="1:9" ht="15.75">
      <c r="A19" s="214" t="s">
        <v>283</v>
      </c>
      <c r="B19" s="226" t="s">
        <v>42</v>
      </c>
      <c r="C19" s="124">
        <v>3347825</v>
      </c>
      <c r="D19" s="124">
        <v>3578891</v>
      </c>
      <c r="E19" s="124">
        <f>'5.kiadás'!H249-'5.kiadás'!H64</f>
        <v>3450000</v>
      </c>
      <c r="F19" s="124">
        <f>'1.mérleg'!D26</f>
        <v>3984551</v>
      </c>
      <c r="G19" s="124">
        <f>'1.mérleg'!E26</f>
        <v>3722214</v>
      </c>
      <c r="H19" s="225">
        <f t="shared" si="1"/>
        <v>0.9341614651186545</v>
      </c>
      <c r="I19" s="216"/>
    </row>
    <row r="20" spans="1:8" ht="15.75">
      <c r="A20" s="219"/>
      <c r="B20" s="220" t="s">
        <v>284</v>
      </c>
      <c r="C20" s="227">
        <f>SUM(C14:C19)</f>
        <v>70977733</v>
      </c>
      <c r="D20" s="227">
        <f>SUM(D14:D19)</f>
        <v>77467930</v>
      </c>
      <c r="E20" s="227">
        <f>SUM(E14:E19)</f>
        <v>97561000</v>
      </c>
      <c r="F20" s="227">
        <f>SUM(F14:F19)</f>
        <v>110927292</v>
      </c>
      <c r="G20" s="227">
        <f>SUM(G14:G19)</f>
        <v>85014773</v>
      </c>
      <c r="H20" s="228">
        <f t="shared" si="1"/>
        <v>0.7664008691386787</v>
      </c>
    </row>
  </sheetData>
  <sheetProtection selectLockedCells="1" selectUnlockedCells="1"/>
  <mergeCells count="5">
    <mergeCell ref="A2:E2"/>
    <mergeCell ref="A3:E3"/>
    <mergeCell ref="A4:E4"/>
    <mergeCell ref="A6:B6"/>
    <mergeCell ref="A1:H1"/>
  </mergeCells>
  <printOptions gridLines="1" headings="1"/>
  <pageMargins left="0.7479166666666667" right="0.7479166666666667" top="0.9840277777777777" bottom="0.9840277777777777" header="0.5118055555555555" footer="0.5118055555555555"/>
  <pageSetup horizontalDpi="300" verticalDpi="300" orientation="portrait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1"/>
  <sheetViews>
    <sheetView zoomScaleSheetLayoutView="110" zoomScalePageLayoutView="0" workbookViewId="0" topLeftCell="A1">
      <selection activeCell="A2" sqref="A2:E2"/>
    </sheetView>
  </sheetViews>
  <sheetFormatPr defaultColWidth="10.28125" defaultRowHeight="12.75"/>
  <cols>
    <col min="1" max="1" width="3.421875" style="208" customWidth="1"/>
    <col min="2" max="2" width="49.28125" style="208" customWidth="1"/>
    <col min="3" max="3" width="13.140625" style="208" customWidth="1"/>
    <col min="4" max="4" width="12.7109375" style="208" customWidth="1"/>
    <col min="5" max="5" width="13.00390625" style="208" customWidth="1"/>
    <col min="6" max="6" width="13.28125" style="208" customWidth="1"/>
    <col min="7" max="7" width="13.8515625" style="208" customWidth="1"/>
    <col min="8" max="8" width="11.7109375" style="208" customWidth="1"/>
    <col min="9" max="16384" width="10.28125" style="208" customWidth="1"/>
  </cols>
  <sheetData>
    <row r="1" spans="1:8" ht="15.75">
      <c r="A1" s="477" t="s">
        <v>580</v>
      </c>
      <c r="B1" s="477"/>
      <c r="C1" s="477"/>
      <c r="D1" s="477"/>
      <c r="E1" s="477"/>
      <c r="F1" s="477"/>
      <c r="G1" s="477"/>
      <c r="H1" s="477"/>
    </row>
    <row r="2" spans="1:5" ht="19.5" customHeight="1">
      <c r="A2" s="477"/>
      <c r="B2" s="477"/>
      <c r="C2" s="477"/>
      <c r="D2" s="477"/>
      <c r="E2" s="477"/>
    </row>
    <row r="3" spans="1:5" ht="19.5" customHeight="1">
      <c r="A3" s="480" t="s">
        <v>261</v>
      </c>
      <c r="B3" s="480"/>
      <c r="C3" s="480"/>
      <c r="D3" s="480"/>
      <c r="E3" s="480"/>
    </row>
    <row r="4" spans="1:5" ht="15.75">
      <c r="A4" s="480" t="s">
        <v>285</v>
      </c>
      <c r="B4" s="480"/>
      <c r="C4" s="480"/>
      <c r="D4" s="480"/>
      <c r="E4" s="480"/>
    </row>
    <row r="5" spans="1:4" ht="15.75">
      <c r="A5" s="209"/>
      <c r="B5" s="209"/>
      <c r="C5" s="209"/>
      <c r="D5" s="209"/>
    </row>
    <row r="6" spans="1:8" ht="78" customHeight="1">
      <c r="A6" s="479" t="s">
        <v>272</v>
      </c>
      <c r="B6" s="479"/>
      <c r="C6" s="210" t="s">
        <v>273</v>
      </c>
      <c r="D6" s="210" t="s">
        <v>274</v>
      </c>
      <c r="E6" s="210" t="s">
        <v>275</v>
      </c>
      <c r="F6" s="210" t="s">
        <v>276</v>
      </c>
      <c r="G6" s="47" t="s">
        <v>277</v>
      </c>
      <c r="H6" s="48" t="s">
        <v>278</v>
      </c>
    </row>
    <row r="7" spans="1:8" ht="15.75">
      <c r="A7" s="229" t="s">
        <v>20</v>
      </c>
      <c r="B7" s="230" t="s">
        <v>21</v>
      </c>
      <c r="C7" s="231">
        <v>2940300</v>
      </c>
      <c r="D7" s="231">
        <v>749360</v>
      </c>
      <c r="E7" s="231">
        <f>'3.bevétel jogc.'!F28</f>
        <v>5805012</v>
      </c>
      <c r="F7" s="231">
        <f>'3.bevétel jogc.'!G28</f>
        <v>5805012</v>
      </c>
      <c r="G7" s="232">
        <f>'1.mérleg'!E14</f>
        <v>5805012</v>
      </c>
      <c r="H7" s="233">
        <f>G7/F7</f>
        <v>1</v>
      </c>
    </row>
    <row r="8" spans="1:8" ht="15.75">
      <c r="A8" s="229" t="s">
        <v>286</v>
      </c>
      <c r="B8" s="230" t="s">
        <v>287</v>
      </c>
      <c r="C8" s="234">
        <v>0</v>
      </c>
      <c r="D8" s="234">
        <v>0</v>
      </c>
      <c r="E8" s="234">
        <v>0</v>
      </c>
      <c r="F8" s="234">
        <v>0</v>
      </c>
      <c r="G8" s="208">
        <v>0</v>
      </c>
      <c r="H8" s="233"/>
    </row>
    <row r="9" spans="1:8" ht="15.75">
      <c r="A9" s="229" t="s">
        <v>288</v>
      </c>
      <c r="B9" s="230" t="s">
        <v>289</v>
      </c>
      <c r="C9" s="234">
        <v>640915</v>
      </c>
      <c r="D9" s="234">
        <v>4817977</v>
      </c>
      <c r="E9" s="234">
        <v>0</v>
      </c>
      <c r="F9" s="234">
        <v>0</v>
      </c>
      <c r="G9" s="208">
        <v>0</v>
      </c>
      <c r="H9" s="233"/>
    </row>
    <row r="10" spans="1:8" ht="15.75">
      <c r="A10" s="235"/>
      <c r="B10" s="236" t="s">
        <v>290</v>
      </c>
      <c r="C10" s="237">
        <f aca="true" t="shared" si="0" ref="C10:H10">SUM(C7:C9)</f>
        <v>3581215</v>
      </c>
      <c r="D10" s="237">
        <f t="shared" si="0"/>
        <v>5567337</v>
      </c>
      <c r="E10" s="237">
        <f t="shared" si="0"/>
        <v>5805012</v>
      </c>
      <c r="F10" s="237">
        <f t="shared" si="0"/>
        <v>5805012</v>
      </c>
      <c r="G10" s="237">
        <f t="shared" si="0"/>
        <v>5805012</v>
      </c>
      <c r="H10" s="238">
        <f t="shared" si="0"/>
        <v>1</v>
      </c>
    </row>
    <row r="11" spans="2:4" ht="15.75">
      <c r="B11" s="239"/>
      <c r="C11" s="240"/>
      <c r="D11" s="240"/>
    </row>
    <row r="12" spans="1:8" ht="15.75">
      <c r="A12" s="229" t="s">
        <v>37</v>
      </c>
      <c r="B12" s="241" t="s">
        <v>38</v>
      </c>
      <c r="C12" s="234">
        <v>609378</v>
      </c>
      <c r="D12" s="234">
        <v>9067029</v>
      </c>
      <c r="E12" s="234">
        <f>'5.kiadás'!H247</f>
        <v>1150000</v>
      </c>
      <c r="F12" s="234">
        <f>'5.kiadás'!I247+'12.Idősek Otthona kiadás'!H52</f>
        <v>1486289</v>
      </c>
      <c r="G12" s="232">
        <f>'1.mérleg'!E24</f>
        <v>336001</v>
      </c>
      <c r="H12" s="233">
        <f>G12/F12</f>
        <v>0.2260670704015168</v>
      </c>
    </row>
    <row r="13" spans="1:8" ht="15.75">
      <c r="A13" s="229" t="s">
        <v>39</v>
      </c>
      <c r="B13" s="241" t="s">
        <v>40</v>
      </c>
      <c r="C13" s="234">
        <v>500380</v>
      </c>
      <c r="D13" s="234">
        <v>295240</v>
      </c>
      <c r="E13" s="234">
        <f>'5.kiadás'!H248</f>
        <v>9112000</v>
      </c>
      <c r="F13" s="234">
        <f>'5.kiadás'!I248</f>
        <v>9112000</v>
      </c>
      <c r="G13" s="232">
        <f>'1.mérleg'!E25</f>
        <v>6859900</v>
      </c>
      <c r="H13" s="233">
        <f>G13/F13</f>
        <v>0.752842405618964</v>
      </c>
    </row>
    <row r="14" spans="1:8" ht="15.75">
      <c r="A14" s="229" t="s">
        <v>291</v>
      </c>
      <c r="B14" s="241" t="s">
        <v>292</v>
      </c>
      <c r="C14" s="234">
        <v>0</v>
      </c>
      <c r="D14" s="234">
        <v>27413</v>
      </c>
      <c r="E14" s="234">
        <v>0</v>
      </c>
      <c r="F14" s="234">
        <v>0</v>
      </c>
      <c r="G14" s="208">
        <v>0</v>
      </c>
      <c r="H14" s="233"/>
    </row>
    <row r="15" spans="1:8" ht="15.75">
      <c r="A15" s="235"/>
      <c r="B15" s="236" t="s">
        <v>293</v>
      </c>
      <c r="C15" s="242">
        <f>SUM(C12:C14)</f>
        <v>1109758</v>
      </c>
      <c r="D15" s="242">
        <f>SUM(D12:D14)</f>
        <v>9389682</v>
      </c>
      <c r="E15" s="242">
        <f>SUM(E12:E14)</f>
        <v>10262000</v>
      </c>
      <c r="F15" s="242">
        <f>SUM(F12:F14)</f>
        <v>10598289</v>
      </c>
      <c r="G15" s="242">
        <f>SUM(G12:G14)</f>
        <v>7195901</v>
      </c>
      <c r="H15" s="243">
        <f>G15/F15</f>
        <v>0.6789681806185885</v>
      </c>
    </row>
    <row r="16" spans="1:8" ht="45.75" customHeight="1">
      <c r="A16" s="244"/>
      <c r="B16" s="245" t="s">
        <v>294</v>
      </c>
      <c r="C16" s="246">
        <f>C10+'7.Táj.adatok műk.'!C12</f>
        <v>91975008</v>
      </c>
      <c r="D16" s="246">
        <f>D10+'7.Táj.adatok műk.'!D12</f>
        <v>110252681</v>
      </c>
      <c r="E16" s="246">
        <f>SUM('7.Táj.adatok műk.'!E12+'8.Táj.adatok felh.'!E10)</f>
        <v>107823000</v>
      </c>
      <c r="F16" s="246">
        <f>SUM('7.Táj.adatok műk.'!F12+'8.Táj.adatok felh.'!F10)</f>
        <v>121525581</v>
      </c>
      <c r="G16" s="246">
        <f>SUM('7.Táj.adatok műk.'!G12+'8.Táj.adatok felh.'!G10)</f>
        <v>120198413</v>
      </c>
      <c r="H16" s="247">
        <f>G16/F16</f>
        <v>0.9890791059044597</v>
      </c>
    </row>
    <row r="17" spans="1:8" ht="44.25" customHeight="1">
      <c r="A17" s="244"/>
      <c r="B17" s="245" t="s">
        <v>295</v>
      </c>
      <c r="C17" s="246">
        <f>C15+'7.Táj.adatok műk.'!C20</f>
        <v>72087491</v>
      </c>
      <c r="D17" s="246">
        <f>D15+'7.Táj.adatok műk.'!D20</f>
        <v>86857612</v>
      </c>
      <c r="E17" s="246">
        <f>SUM('7.Táj.adatok műk.'!E20+'8.Táj.adatok felh.'!E15)</f>
        <v>107823000</v>
      </c>
      <c r="F17" s="246">
        <f>SUM('7.Táj.adatok műk.'!F20+'8.Táj.adatok felh.'!F15)</f>
        <v>121525581</v>
      </c>
      <c r="G17" s="246">
        <f>SUM('7.Táj.adatok műk.'!G20+'8.Táj.adatok felh.'!G15)</f>
        <v>92210674</v>
      </c>
      <c r="H17" s="247">
        <f>G17/F17</f>
        <v>0.7587758333778302</v>
      </c>
    </row>
    <row r="18" spans="3:4" ht="15.75">
      <c r="C18" s="248"/>
      <c r="D18" s="248"/>
    </row>
    <row r="19" spans="3:4" ht="15.75">
      <c r="C19" s="248"/>
      <c r="D19" s="248"/>
    </row>
    <row r="20" spans="3:4" ht="15.75">
      <c r="C20" s="248"/>
      <c r="D20" s="248"/>
    </row>
    <row r="21" spans="3:4" ht="15.75">
      <c r="C21" s="248"/>
      <c r="D21" s="248"/>
    </row>
  </sheetData>
  <sheetProtection selectLockedCells="1" selectUnlockedCells="1"/>
  <mergeCells count="5">
    <mergeCell ref="A2:E2"/>
    <mergeCell ref="A3:E3"/>
    <mergeCell ref="A4:E4"/>
    <mergeCell ref="A6:B6"/>
    <mergeCell ref="A1:H1"/>
  </mergeCells>
  <printOptions gridLines="1" headings="1"/>
  <pageMargins left="0.7479166666666667" right="0.2361111111111111" top="0.9840277777777777" bottom="0.9840277777777777" header="0.5118055555555555" footer="0.5118055555555555"/>
  <pageSetup horizontalDpi="300" verticalDpi="300" orientation="portrait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78"/>
  <sheetViews>
    <sheetView zoomScaleSheetLayoutView="110" zoomScalePageLayoutView="0" workbookViewId="0" topLeftCell="A1">
      <selection activeCell="A1" sqref="A1:F1"/>
    </sheetView>
  </sheetViews>
  <sheetFormatPr defaultColWidth="9.140625" defaultRowHeight="12.75"/>
  <cols>
    <col min="1" max="1" width="36.140625" style="249" customWidth="1"/>
    <col min="2" max="2" width="46.28125" style="249" customWidth="1"/>
    <col min="3" max="4" width="15.8515625" style="249" customWidth="1"/>
    <col min="5" max="5" width="14.7109375" style="249" customWidth="1"/>
    <col min="6" max="6" width="14.57421875" style="249" customWidth="1"/>
    <col min="7" max="16384" width="9.140625" style="249" customWidth="1"/>
  </cols>
  <sheetData>
    <row r="1" spans="1:6" ht="15.75">
      <c r="A1" s="483" t="s">
        <v>581</v>
      </c>
      <c r="B1" s="483"/>
      <c r="C1" s="483"/>
      <c r="D1" s="483"/>
      <c r="E1" s="483"/>
      <c r="F1" s="483"/>
    </row>
    <row r="2" spans="1:3" ht="18" customHeight="1">
      <c r="A2" s="483"/>
      <c r="B2" s="483"/>
      <c r="C2" s="483"/>
    </row>
    <row r="3" spans="1:6" ht="24" customHeight="1">
      <c r="A3" s="461" t="s">
        <v>0</v>
      </c>
      <c r="B3" s="461"/>
      <c r="C3" s="461"/>
      <c r="D3" s="461"/>
      <c r="E3" s="461"/>
      <c r="F3" s="461"/>
    </row>
    <row r="4" spans="1:6" ht="30" customHeight="1">
      <c r="A4" s="461" t="s">
        <v>296</v>
      </c>
      <c r="B4" s="461"/>
      <c r="C4" s="461"/>
      <c r="D4" s="461"/>
      <c r="E4" s="461"/>
      <c r="F4" s="461"/>
    </row>
    <row r="5" spans="1:4" ht="17.25" customHeight="1">
      <c r="A5" s="484" t="s">
        <v>297</v>
      </c>
      <c r="B5" s="484"/>
      <c r="C5" s="484"/>
      <c r="D5" s="250"/>
    </row>
    <row r="6" spans="1:6" ht="31.5" customHeight="1">
      <c r="A6" s="485" t="s">
        <v>272</v>
      </c>
      <c r="B6" s="485"/>
      <c r="C6" s="251" t="s">
        <v>47</v>
      </c>
      <c r="D6" s="251" t="s">
        <v>47</v>
      </c>
      <c r="E6" s="486" t="s">
        <v>298</v>
      </c>
      <c r="F6" s="486" t="s">
        <v>299</v>
      </c>
    </row>
    <row r="7" spans="1:6" ht="34.5" customHeight="1">
      <c r="A7" s="485"/>
      <c r="B7" s="485"/>
      <c r="C7" s="252" t="s">
        <v>6</v>
      </c>
      <c r="D7" s="252" t="s">
        <v>7</v>
      </c>
      <c r="E7" s="486"/>
      <c r="F7" s="486"/>
    </row>
    <row r="8" spans="1:6" ht="25.5" customHeight="1">
      <c r="A8" s="481" t="s">
        <v>226</v>
      </c>
      <c r="B8" s="253" t="s">
        <v>300</v>
      </c>
      <c r="C8" s="254">
        <v>6112000</v>
      </c>
      <c r="D8" s="254">
        <v>6112000</v>
      </c>
      <c r="E8" s="255">
        <f>5524174+586366</f>
        <v>6110540</v>
      </c>
      <c r="F8" s="256">
        <f>E8/D8</f>
        <v>0.9997611256544503</v>
      </c>
    </row>
    <row r="9" spans="1:6" ht="25.5" customHeight="1">
      <c r="A9" s="481"/>
      <c r="B9" s="253" t="s">
        <v>301</v>
      </c>
      <c r="C9" s="254">
        <v>3000000</v>
      </c>
      <c r="D9" s="254">
        <v>3000000</v>
      </c>
      <c r="E9" s="257">
        <v>0</v>
      </c>
      <c r="F9" s="256"/>
    </row>
    <row r="10" spans="1:6" ht="30" customHeight="1">
      <c r="A10" s="482" t="s">
        <v>302</v>
      </c>
      <c r="B10" s="482"/>
      <c r="C10" s="258">
        <f>SUM(C8:C9)</f>
        <v>9112000</v>
      </c>
      <c r="D10" s="258">
        <f>SUM(D8:D9)</f>
        <v>9112000</v>
      </c>
      <c r="E10" s="259">
        <f>SUM(E8:E9)</f>
        <v>6110540</v>
      </c>
      <c r="F10" s="256">
        <f>E10/D10</f>
        <v>0.6706035996488148</v>
      </c>
    </row>
    <row r="11" ht="15">
      <c r="F11" s="260"/>
    </row>
    <row r="13" s="261" customFormat="1" ht="15">
      <c r="E13" s="262"/>
    </row>
    <row r="14" spans="3:4" s="261" customFormat="1" ht="15.75">
      <c r="C14" s="263"/>
      <c r="D14" s="263"/>
    </row>
    <row r="15" s="261" customFormat="1" ht="15"/>
    <row r="16" s="261" customFormat="1" ht="15"/>
    <row r="17" s="261" customFormat="1" ht="15"/>
    <row r="18" s="261" customFormat="1" ht="15"/>
    <row r="19" s="261" customFormat="1" ht="15"/>
    <row r="20" s="261" customFormat="1" ht="15"/>
    <row r="21" s="261" customFormat="1" ht="15"/>
    <row r="22" s="261" customFormat="1" ht="15"/>
    <row r="23" s="261" customFormat="1" ht="15"/>
    <row r="24" s="261" customFormat="1" ht="15"/>
    <row r="25" s="261" customFormat="1" ht="15"/>
    <row r="26" s="261" customFormat="1" ht="15"/>
    <row r="27" s="261" customFormat="1" ht="15"/>
    <row r="28" s="261" customFormat="1" ht="15"/>
    <row r="29" s="261" customFormat="1" ht="15"/>
    <row r="30" s="261" customFormat="1" ht="15"/>
    <row r="177" spans="3:4" ht="15.75" customHeight="1">
      <c r="C177" s="264"/>
      <c r="D177" s="264"/>
    </row>
    <row r="178" spans="3:4" ht="15.75" customHeight="1">
      <c r="C178" s="264"/>
      <c r="D178" s="264"/>
    </row>
  </sheetData>
  <sheetProtection selectLockedCells="1" selectUnlockedCells="1"/>
  <mergeCells count="10">
    <mergeCell ref="A1:F1"/>
    <mergeCell ref="A8:A9"/>
    <mergeCell ref="A10:B10"/>
    <mergeCell ref="A2:C2"/>
    <mergeCell ref="A3:F3"/>
    <mergeCell ref="A4:F4"/>
    <mergeCell ref="A5:C5"/>
    <mergeCell ref="A6:B7"/>
    <mergeCell ref="E6:E7"/>
    <mergeCell ref="F6:F7"/>
  </mergeCells>
  <printOptions gridLines="1" headings="1" horizontalCentered="1"/>
  <pageMargins left="0.39375" right="0.39375" top="0.7875" bottom="0.7875" header="0.5118055555555555" footer="0.5118055555555555"/>
  <pageSetup horizontalDpi="300" verticalDpi="3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HorvathTamasne</cp:lastModifiedBy>
  <cp:lastPrinted>2019-05-24T11:50:16Z</cp:lastPrinted>
  <dcterms:modified xsi:type="dcterms:W3CDTF">2019-05-24T11:50:35Z</dcterms:modified>
  <cp:category/>
  <cp:version/>
  <cp:contentType/>
  <cp:contentStatus/>
</cp:coreProperties>
</file>