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/>
  <mc:AlternateContent xmlns:mc="http://schemas.openxmlformats.org/markup-compatibility/2006">
    <mc:Choice Requires="x15">
      <x15ac:absPath xmlns:x15ac="http://schemas.microsoft.com/office/spreadsheetml/2010/11/ac" url="C:\Users\KFulopSzilvia\Documents\K F SZILVIA\MINDSZENTKÁLLA\Költségvetés 2021\"/>
    </mc:Choice>
  </mc:AlternateContent>
  <bookViews>
    <workbookView xWindow="0" yWindow="0" windowWidth="23040" windowHeight="9396" tabRatio="817"/>
  </bookViews>
  <sheets>
    <sheet name="1.mérleg" sheetId="1" r:id="rId1"/>
    <sheet name="2.bevétel" sheetId="2" r:id="rId2"/>
    <sheet name="3.bevétel jogc." sheetId="3" r:id="rId3"/>
    <sheet name="4.bevétel fel." sheetId="4" r:id="rId4"/>
    <sheet name="5.kiadás" sheetId="5" r:id="rId5"/>
    <sheet name="6. kiadás fel." sheetId="6" r:id="rId6"/>
    <sheet name="7.Táj.adatok műk." sheetId="7" r:id="rId7"/>
    <sheet name="8.Táj.adatok felh." sheetId="8" r:id="rId8"/>
    <sheet name="9.felújítás" sheetId="9" r:id="rId9"/>
    <sheet name="10. beruházás" sheetId="10" r:id="rId10"/>
    <sheet name="11.Idősek Otthona bevétel" sheetId="11" r:id="rId11"/>
    <sheet name="12.Idősek Otthona kiadás" sheetId="14" r:id="rId12"/>
    <sheet name="13. Idősek Otthona beruházás" sheetId="13" r:id="rId13"/>
  </sheets>
  <externalReferences>
    <externalReference r:id="rId14"/>
  </externalReferences>
  <definedNames>
    <definedName name="Excel_BuiltIn_Print_Area" localSheetId="9">'10. beruházás'!$A$1:$A$13</definedName>
    <definedName name="Excel_BuiltIn_Print_Area" localSheetId="2">'3.bevétel jogc.'!$A$1:$E$56</definedName>
    <definedName name="Excel_BuiltIn_Print_Area" localSheetId="8">'9.felújítás'!$A$2:$C$12</definedName>
    <definedName name="Excel_BuiltIn_Print_Area_1_1" localSheetId="11">#REF!</definedName>
    <definedName name="Excel_BuiltIn_Print_Area_1_1">#REF!</definedName>
    <definedName name="Excel_BuiltIn_Print_Area_2_1" localSheetId="11">#REF!</definedName>
    <definedName name="Excel_BuiltIn_Print_Area_2_1">#REF!</definedName>
    <definedName name="Excel_BuiltIn_Print_Area_3_1">'5.kiadás'!$A$4:$F$76</definedName>
    <definedName name="_xlnm.Print_Titles" localSheetId="4">'5.kiadás'!$4:$9</definedName>
    <definedName name="_xlnm.Print_Area" localSheetId="0">'1.mérleg'!$A$1:$C$28</definedName>
    <definedName name="_xlnm.Print_Area" localSheetId="9">'10. beruházás'!$A$1:$B$13</definedName>
    <definedName name="_xlnm.Print_Area" localSheetId="10">'11.Idősek Otthona bevétel'!$A$1:$F$35</definedName>
    <definedName name="_xlnm.Print_Area" localSheetId="11">'12.Idősek Otthona kiadás'!$A$1:$G$57</definedName>
    <definedName name="_xlnm.Print_Area" localSheetId="12">'13. Idősek Otthona beruházás'!$A$1:$B$11</definedName>
    <definedName name="_xlnm.Print_Area" localSheetId="1">'2.bevétel'!$A$1:$F$94</definedName>
    <definedName name="_xlnm.Print_Area" localSheetId="2">'3.bevétel jogc.'!$A$1:$F$56</definedName>
    <definedName name="_xlnm.Print_Area" localSheetId="4">'5.kiadás'!$A$1:$I$245</definedName>
    <definedName name="_xlnm.Print_Area" localSheetId="5">'6. kiadás fel.'!$A$1:$E$26</definedName>
    <definedName name="_xlnm.Print_Area" localSheetId="8">'9.felújítás'!$A$1:$C$12</definedName>
  </definedNames>
  <calcPr calcId="152511"/>
</workbook>
</file>

<file path=xl/calcChain.xml><?xml version="1.0" encoding="utf-8"?>
<calcChain xmlns="http://schemas.openxmlformats.org/spreadsheetml/2006/main">
  <c r="C10" i="9" l="1"/>
  <c r="G19" i="14" l="1"/>
  <c r="G18" i="14"/>
  <c r="G9" i="14" l="1"/>
  <c r="G10" i="14" l="1"/>
  <c r="G50" i="14" l="1"/>
  <c r="H193" i="5" l="1"/>
  <c r="H125" i="5"/>
  <c r="H21" i="5"/>
  <c r="H56" i="5" l="1"/>
  <c r="G27" i="14" l="1"/>
  <c r="F46" i="3"/>
  <c r="F49" i="3"/>
  <c r="C9" i="4"/>
  <c r="G56" i="14"/>
  <c r="F52" i="14"/>
  <c r="G49" i="14"/>
  <c r="G45" i="14"/>
  <c r="G44" i="14" s="1"/>
  <c r="G40" i="14"/>
  <c r="G36" i="14"/>
  <c r="G34" i="14"/>
  <c r="G33" i="14"/>
  <c r="G24" i="14"/>
  <c r="G21" i="14"/>
  <c r="G13" i="14"/>
  <c r="G8" i="14"/>
  <c r="F10" i="11"/>
  <c r="F9" i="11" s="1"/>
  <c r="F13" i="11"/>
  <c r="F33" i="11" s="1"/>
  <c r="F18" i="11"/>
  <c r="F17" i="11" s="1"/>
  <c r="F23" i="11"/>
  <c r="F22" i="11" s="1"/>
  <c r="B15" i="4" s="1"/>
  <c r="F28" i="11"/>
  <c r="F27" i="11" s="1"/>
  <c r="F26" i="11" s="1"/>
  <c r="F30" i="11"/>
  <c r="G20" i="14" l="1"/>
  <c r="G43" i="14"/>
  <c r="G17" i="14"/>
  <c r="G54" i="14" s="1"/>
  <c r="G53" i="14"/>
  <c r="G55" i="14"/>
  <c r="F25" i="11"/>
  <c r="F34" i="11"/>
  <c r="F8" i="11"/>
  <c r="F32" i="11"/>
  <c r="F35" i="11" s="1"/>
  <c r="H51" i="5"/>
  <c r="G7" i="14" l="1"/>
  <c r="G51" i="14" s="1"/>
  <c r="F31" i="11"/>
  <c r="C16" i="4"/>
  <c r="G57" i="14"/>
  <c r="H185" i="5"/>
  <c r="H184" i="5" s="1"/>
  <c r="H177" i="5"/>
  <c r="H119" i="5"/>
  <c r="H118" i="5" s="1"/>
  <c r="H124" i="5" s="1"/>
  <c r="H72" i="5"/>
  <c r="H69" i="5"/>
  <c r="H53" i="5"/>
  <c r="H52" i="5" s="1"/>
  <c r="H235" i="5"/>
  <c r="H232" i="5" s="1"/>
  <c r="H228" i="5" s="1"/>
  <c r="B25" i="6" s="1"/>
  <c r="E25" i="6" s="1"/>
  <c r="H234" i="5"/>
  <c r="I234" i="5"/>
  <c r="H190" i="5"/>
  <c r="H159" i="5"/>
  <c r="H142" i="5"/>
  <c r="H75" i="5"/>
  <c r="H79" i="5"/>
  <c r="H77" i="5" s="1"/>
  <c r="H65" i="5"/>
  <c r="H63" i="5"/>
  <c r="F56" i="2"/>
  <c r="F54" i="2"/>
  <c r="F45" i="2"/>
  <c r="F44" i="2"/>
  <c r="H41" i="5"/>
  <c r="D9" i="7"/>
  <c r="D7" i="7"/>
  <c r="H82" i="5"/>
  <c r="H80" i="5" s="1"/>
  <c r="H243" i="5" s="1"/>
  <c r="E14" i="8" s="1"/>
  <c r="C26" i="1" s="1"/>
  <c r="B11" i="13"/>
  <c r="F10" i="2"/>
  <c r="F9" i="2"/>
  <c r="F8" i="2"/>
  <c r="F13" i="2"/>
  <c r="F17" i="2"/>
  <c r="F12" i="2" s="1"/>
  <c r="B8" i="4" s="1"/>
  <c r="E8" i="4" s="1"/>
  <c r="F22" i="2"/>
  <c r="F54" i="3" s="1"/>
  <c r="F26" i="2"/>
  <c r="F30" i="2"/>
  <c r="F29" i="2" s="1"/>
  <c r="F32" i="2"/>
  <c r="F34" i="2"/>
  <c r="F36" i="2"/>
  <c r="F39" i="2"/>
  <c r="F38" i="2" s="1"/>
  <c r="B11" i="4" s="1"/>
  <c r="E11" i="4"/>
  <c r="F63" i="2"/>
  <c r="F66" i="2"/>
  <c r="F65" i="2"/>
  <c r="B14" i="4"/>
  <c r="E14" i="4" s="1"/>
  <c r="F70" i="2"/>
  <c r="F69" i="2" s="1"/>
  <c r="F68" i="2"/>
  <c r="B18" i="4"/>
  <c r="E18" i="4" s="1"/>
  <c r="F75" i="2"/>
  <c r="F79" i="2"/>
  <c r="F72" i="2" s="1"/>
  <c r="B12" i="4" s="1"/>
  <c r="F92" i="2"/>
  <c r="E10" i="7" s="1"/>
  <c r="C13" i="1" s="1"/>
  <c r="F28" i="3"/>
  <c r="F85" i="2"/>
  <c r="F84" i="2" s="1"/>
  <c r="C17" i="4" s="1"/>
  <c r="E17" i="4" s="1"/>
  <c r="F13" i="3"/>
  <c r="F14" i="3"/>
  <c r="F15" i="3"/>
  <c r="F16" i="3"/>
  <c r="F20" i="3"/>
  <c r="F19" i="3" s="1"/>
  <c r="F17" i="3" s="1"/>
  <c r="F21" i="3"/>
  <c r="F22" i="3"/>
  <c r="F23" i="3"/>
  <c r="F24" i="3"/>
  <c r="F25" i="3"/>
  <c r="F27" i="3"/>
  <c r="F31" i="3"/>
  <c r="F30" i="3" s="1"/>
  <c r="F29" i="3" s="1"/>
  <c r="F34" i="3"/>
  <c r="F35" i="3"/>
  <c r="F38" i="3"/>
  <c r="F37" i="3" s="1"/>
  <c r="F40" i="3"/>
  <c r="F39" i="3"/>
  <c r="F42" i="3"/>
  <c r="F41" i="3"/>
  <c r="F44" i="3"/>
  <c r="F43" i="3"/>
  <c r="F47" i="3"/>
  <c r="F48" i="3"/>
  <c r="F51" i="3"/>
  <c r="F50" i="3"/>
  <c r="F55" i="3"/>
  <c r="D19" i="4"/>
  <c r="H12" i="5"/>
  <c r="H11" i="5" s="1"/>
  <c r="H18" i="5"/>
  <c r="H24" i="5"/>
  <c r="H23" i="5"/>
  <c r="H27" i="5"/>
  <c r="H30" i="5"/>
  <c r="H35" i="5"/>
  <c r="H37" i="5"/>
  <c r="H46" i="5"/>
  <c r="H45" i="5" s="1"/>
  <c r="B8" i="6" s="1"/>
  <c r="E8" i="6"/>
  <c r="H50" i="5"/>
  <c r="H49" i="5" s="1"/>
  <c r="H62" i="5"/>
  <c r="H61" i="5"/>
  <c r="H64" i="5"/>
  <c r="H67" i="5"/>
  <c r="H66" i="5" s="1"/>
  <c r="H60" i="5" s="1"/>
  <c r="B10" i="6" s="1"/>
  <c r="E10" i="6" s="1"/>
  <c r="H86" i="5"/>
  <c r="H85" i="5"/>
  <c r="H91" i="5"/>
  <c r="H88" i="5" s="1"/>
  <c r="H93" i="5"/>
  <c r="H95" i="5"/>
  <c r="H100" i="5"/>
  <c r="H102" i="5"/>
  <c r="H105" i="5"/>
  <c r="H107" i="5"/>
  <c r="H113" i="5"/>
  <c r="H116" i="5" s="1"/>
  <c r="H115" i="5" s="1"/>
  <c r="H112" i="5"/>
  <c r="H127" i="5"/>
  <c r="H131" i="5"/>
  <c r="H129" i="5"/>
  <c r="H134" i="5"/>
  <c r="H139" i="5"/>
  <c r="H138" i="5"/>
  <c r="H137" i="5"/>
  <c r="H141" i="5"/>
  <c r="H146" i="5"/>
  <c r="H143" i="5"/>
  <c r="H150" i="5"/>
  <c r="H153" i="5"/>
  <c r="H152" i="5" s="1"/>
  <c r="H155" i="5"/>
  <c r="H158" i="5"/>
  <c r="H157" i="5" s="1"/>
  <c r="H162" i="5"/>
  <c r="H165" i="5"/>
  <c r="H167" i="5"/>
  <c r="H161" i="5"/>
  <c r="H160" i="5" s="1"/>
  <c r="B17" i="6" s="1"/>
  <c r="E17" i="6" s="1"/>
  <c r="H172" i="5"/>
  <c r="H171" i="5" s="1"/>
  <c r="H175" i="5"/>
  <c r="H174" i="5"/>
  <c r="H181" i="5"/>
  <c r="H196" i="5"/>
  <c r="H195" i="5" s="1"/>
  <c r="H201" i="5"/>
  <c r="H198" i="5"/>
  <c r="H203" i="5"/>
  <c r="H207" i="5"/>
  <c r="H205" i="5"/>
  <c r="H210" i="5"/>
  <c r="H209" i="5"/>
  <c r="H208" i="5" s="1"/>
  <c r="B20" i="6" s="1"/>
  <c r="E20" i="6" s="1"/>
  <c r="H214" i="5"/>
  <c r="H213" i="5" s="1"/>
  <c r="H212" i="5" s="1"/>
  <c r="B21" i="6" s="1"/>
  <c r="E21" i="6" s="1"/>
  <c r="H219" i="5"/>
  <c r="H221" i="5"/>
  <c r="H223" i="5"/>
  <c r="H226" i="5"/>
  <c r="H225" i="5" s="1"/>
  <c r="B23" i="6" s="1"/>
  <c r="E23" i="6" s="1"/>
  <c r="H231" i="5"/>
  <c r="H229" i="5" s="1"/>
  <c r="G236" i="5"/>
  <c r="C22" i="6"/>
  <c r="D22" i="6"/>
  <c r="D26" i="6" s="1"/>
  <c r="C7" i="7"/>
  <c r="C8" i="7"/>
  <c r="C9" i="7"/>
  <c r="C10" i="7"/>
  <c r="C11" i="7"/>
  <c r="D11" i="7"/>
  <c r="D12" i="7" s="1"/>
  <c r="C14" i="7"/>
  <c r="D14" i="7"/>
  <c r="C15" i="7"/>
  <c r="D15" i="7"/>
  <c r="C16" i="7"/>
  <c r="D16" i="7"/>
  <c r="C17" i="7"/>
  <c r="C18" i="7"/>
  <c r="D19" i="7"/>
  <c r="C8" i="8"/>
  <c r="C11" i="8"/>
  <c r="D11" i="8"/>
  <c r="D13" i="8"/>
  <c r="C16" i="8"/>
  <c r="D16" i="8"/>
  <c r="C12" i="9"/>
  <c r="H17" i="5"/>
  <c r="F89" i="2"/>
  <c r="E8" i="8" s="1"/>
  <c r="C15" i="1" s="1"/>
  <c r="C14" i="1" s="1"/>
  <c r="F82" i="2"/>
  <c r="E16" i="4"/>
  <c r="D18" i="8"/>
  <c r="E12" i="4"/>
  <c r="F33" i="3"/>
  <c r="E11" i="8"/>
  <c r="F18" i="3"/>
  <c r="F43" i="2"/>
  <c r="F42" i="2" s="1"/>
  <c r="F41" i="2" s="1"/>
  <c r="F12" i="3"/>
  <c r="F21" i="2"/>
  <c r="F20" i="2" s="1"/>
  <c r="F19" i="2" s="1"/>
  <c r="B9" i="4" s="1"/>
  <c r="E9" i="4" s="1"/>
  <c r="B13" i="4"/>
  <c r="E13" i="4" s="1"/>
  <c r="F93" i="2"/>
  <c r="H244" i="5"/>
  <c r="E19" i="7" s="1"/>
  <c r="C27" i="1" s="1"/>
  <c r="H218" i="5"/>
  <c r="H217" i="5" s="1"/>
  <c r="H216" i="5"/>
  <c r="B22" i="6" s="1"/>
  <c r="E22" i="6" s="1"/>
  <c r="B11" i="10"/>
  <c r="H149" i="5"/>
  <c r="H237" i="5" l="1"/>
  <c r="H192" i="5"/>
  <c r="H183" i="5" s="1"/>
  <c r="C19" i="6" s="1"/>
  <c r="E19" i="6" s="1"/>
  <c r="H20" i="5"/>
  <c r="H48" i="5"/>
  <c r="B9" i="6" s="1"/>
  <c r="E9" i="6" s="1"/>
  <c r="F26" i="3"/>
  <c r="F45" i="3"/>
  <c r="F36" i="3"/>
  <c r="F53" i="3"/>
  <c r="F52" i="3" s="1"/>
  <c r="F11" i="3"/>
  <c r="E11" i="7"/>
  <c r="C16" i="1" s="1"/>
  <c r="H240" i="5"/>
  <c r="E17" i="7" s="1"/>
  <c r="C22" i="1" s="1"/>
  <c r="H148" i="5"/>
  <c r="B16" i="6" s="1"/>
  <c r="E16" i="6" s="1"/>
  <c r="C18" i="8"/>
  <c r="H126" i="5"/>
  <c r="H117" i="5" s="1"/>
  <c r="B14" i="6" s="1"/>
  <c r="E14" i="6" s="1"/>
  <c r="H111" i="5"/>
  <c r="H110" i="5" s="1"/>
  <c r="B13" i="6" s="1"/>
  <c r="E13" i="6" s="1"/>
  <c r="B10" i="10"/>
  <c r="B9" i="10" s="1"/>
  <c r="B13" i="10" s="1"/>
  <c r="H242" i="5"/>
  <c r="E13" i="8" s="1"/>
  <c r="H241" i="5"/>
  <c r="E18" i="7" s="1"/>
  <c r="C23" i="1" s="1"/>
  <c r="C19" i="4"/>
  <c r="F81" i="2"/>
  <c r="E15" i="4" s="1"/>
  <c r="F88" i="2"/>
  <c r="C20" i="7"/>
  <c r="C19" i="8" s="1"/>
  <c r="H99" i="5"/>
  <c r="H98" i="5" s="1"/>
  <c r="B12" i="6" s="1"/>
  <c r="E12" i="6" s="1"/>
  <c r="H84" i="5"/>
  <c r="H83" i="5" s="1"/>
  <c r="B11" i="6" s="1"/>
  <c r="E11" i="6" s="1"/>
  <c r="F10" i="3"/>
  <c r="F9" i="3" s="1"/>
  <c r="F25" i="2"/>
  <c r="B7" i="4"/>
  <c r="F32" i="3"/>
  <c r="H170" i="5"/>
  <c r="H169" i="5" s="1"/>
  <c r="C18" i="6" s="1"/>
  <c r="D20" i="7"/>
  <c r="D19" i="8" s="1"/>
  <c r="C12" i="7"/>
  <c r="H194" i="5"/>
  <c r="H136" i="5"/>
  <c r="B15" i="6" s="1"/>
  <c r="E15" i="6" s="1"/>
  <c r="H22" i="5"/>
  <c r="F91" i="2"/>
  <c r="E9" i="7" s="1"/>
  <c r="C12" i="1" s="1"/>
  <c r="H238" i="5" l="1"/>
  <c r="E15" i="7" s="1"/>
  <c r="C20" i="1" s="1"/>
  <c r="H10" i="5"/>
  <c r="B7" i="6" s="1"/>
  <c r="F56" i="3"/>
  <c r="E18" i="6"/>
  <c r="E7" i="4"/>
  <c r="E14" i="7"/>
  <c r="H236" i="5"/>
  <c r="H239" i="5"/>
  <c r="F90" i="2"/>
  <c r="E8" i="7" s="1"/>
  <c r="C11" i="1" s="1"/>
  <c r="F24" i="2"/>
  <c r="E7" i="7"/>
  <c r="E16" i="8"/>
  <c r="C25" i="1"/>
  <c r="C24" i="1" s="1"/>
  <c r="E12" i="7" l="1"/>
  <c r="E18" i="8" s="1"/>
  <c r="C10" i="1"/>
  <c r="C9" i="1" s="1"/>
  <c r="C17" i="1" s="1"/>
  <c r="C19" i="1"/>
  <c r="F94" i="2"/>
  <c r="B26" i="6"/>
  <c r="E7" i="6"/>
  <c r="E16" i="7"/>
  <c r="C21" i="1" s="1"/>
  <c r="H245" i="5"/>
  <c r="B10" i="4"/>
  <c r="F87" i="2"/>
  <c r="C24" i="6"/>
  <c r="C18" i="1" l="1"/>
  <c r="C28" i="1" s="1"/>
  <c r="E20" i="7"/>
  <c r="E19" i="8" s="1"/>
  <c r="E10" i="4"/>
  <c r="E19" i="4" s="1"/>
  <c r="B19" i="4"/>
  <c r="E24" i="6"/>
  <c r="E26" i="6" s="1"/>
  <c r="C26" i="6"/>
</calcChain>
</file>

<file path=xl/sharedStrings.xml><?xml version="1.0" encoding="utf-8"?>
<sst xmlns="http://schemas.openxmlformats.org/spreadsheetml/2006/main" count="997" uniqueCount="351">
  <si>
    <t>MINDSZENTKÁLLA KÖZSÉG ÖNKORMÁNYZATA</t>
  </si>
  <si>
    <t>Előirányzatok</t>
  </si>
  <si>
    <t>Előirányzat    (Ft)</t>
  </si>
  <si>
    <t>eredeti</t>
  </si>
  <si>
    <t>Működési bevételek összesen:</t>
  </si>
  <si>
    <t>B1</t>
  </si>
  <si>
    <t>Működési célú támogatások államháztartáson belülről</t>
  </si>
  <si>
    <t>B3</t>
  </si>
  <si>
    <t>Közhatalmi bevételek</t>
  </si>
  <si>
    <t>B4</t>
  </si>
  <si>
    <t>Működési bevételek</t>
  </si>
  <si>
    <t>B6</t>
  </si>
  <si>
    <t>Működési célú átvett pénzeszközök</t>
  </si>
  <si>
    <t>Felhalmozási bevételek összesen:</t>
  </si>
  <si>
    <t>B2</t>
  </si>
  <si>
    <t>Felhalmozási célú támogatások államháztartáson belülről</t>
  </si>
  <si>
    <t>B8</t>
  </si>
  <si>
    <t>Finanszírozási bevételek</t>
  </si>
  <si>
    <t>BEVÉTELEK összesen:</t>
  </si>
  <si>
    <t>Működési kiadások összesen:</t>
  </si>
  <si>
    <t>K1</t>
  </si>
  <si>
    <t>Személyi juttatás</t>
  </si>
  <si>
    <t>K2</t>
  </si>
  <si>
    <t>Munkaadót terhelő járulékok</t>
  </si>
  <si>
    <t>K3</t>
  </si>
  <si>
    <t>Dologi kiadások</t>
  </si>
  <si>
    <t>K4</t>
  </si>
  <si>
    <t>Ellátotak pénzbeli juttatásai</t>
  </si>
  <si>
    <t>K5</t>
  </si>
  <si>
    <t>Egyéb működési célú kiadások</t>
  </si>
  <si>
    <t>Felhalmozási kiadások összesen:</t>
  </si>
  <si>
    <t>K6</t>
  </si>
  <si>
    <t>Beruházások</t>
  </si>
  <si>
    <t>K7</t>
  </si>
  <si>
    <t>Felújítások</t>
  </si>
  <si>
    <t>K9</t>
  </si>
  <si>
    <t>Finanszírozási kiadások</t>
  </si>
  <si>
    <t>KIADÁSOK ÖSSZESEN</t>
  </si>
  <si>
    <t>Kiemelt előirányzatok</t>
  </si>
  <si>
    <t>013350 Az önkormányzati vagyonnal való gazdálkodással kapcsolatos feladatok</t>
  </si>
  <si>
    <t>B402</t>
  </si>
  <si>
    <t>Szolgáltatások ellenértéke</t>
  </si>
  <si>
    <t>Tárgyi eszközök bérbeadásából származó bevétel</t>
  </si>
  <si>
    <t xml:space="preserve">011130 Önkormányzatok és önkormányzati hivatalok jogalkotó és általános igazgatási tevékenysége </t>
  </si>
  <si>
    <t>B408</t>
  </si>
  <si>
    <t>Kamatbevételek</t>
  </si>
  <si>
    <t>B411</t>
  </si>
  <si>
    <t>Egyéb működési bevételek</t>
  </si>
  <si>
    <t>B65</t>
  </si>
  <si>
    <t>Egyéb működési célú átvett pénzeszközök - háztartások</t>
  </si>
  <si>
    <t>018030 Támogatási célú finanszírozási műveletek</t>
  </si>
  <si>
    <t>B81</t>
  </si>
  <si>
    <t>Belföldi finanszírozás bevételei</t>
  </si>
  <si>
    <t>B813</t>
  </si>
  <si>
    <t>Maradvány igénybevétele</t>
  </si>
  <si>
    <t>B8131</t>
  </si>
  <si>
    <t>Előző év költségvetési maradványának igénybevétele</t>
  </si>
  <si>
    <t>900020 Önkormányzatok funkcióira nem sorolható bevételei államháztartáson kívülről</t>
  </si>
  <si>
    <t>B34</t>
  </si>
  <si>
    <t>Vagyoni típusú adók</t>
  </si>
  <si>
    <t>Magánszemélyek kommunális adója</t>
  </si>
  <si>
    <t>Telekadó</t>
  </si>
  <si>
    <t>B35</t>
  </si>
  <si>
    <t>Termékek és szolgáltatások adói</t>
  </si>
  <si>
    <t>B351</t>
  </si>
  <si>
    <t>Értékesítés és forgalmi adók</t>
  </si>
  <si>
    <t>Iparűzési adó</t>
  </si>
  <si>
    <t>B354</t>
  </si>
  <si>
    <t>Gépjárműadók</t>
  </si>
  <si>
    <t>Helyi önkormányzatot megillető rész</t>
  </si>
  <si>
    <t>B355</t>
  </si>
  <si>
    <t>Egyéb áruhasználati és szolgáltatási adók</t>
  </si>
  <si>
    <t>Tartózkodás után fizetett idegenforgalmi adó</t>
  </si>
  <si>
    <t>B36</t>
  </si>
  <si>
    <t>Egyéb közhatalmi bevételek</t>
  </si>
  <si>
    <t>Késedelmi és önellenőrzési pótlék</t>
  </si>
  <si>
    <t>013320 Köztemető fenntartás és működtetés</t>
  </si>
  <si>
    <t>018010 Önkormányzatok elszámolásai a központi költségvetéssel</t>
  </si>
  <si>
    <t>B11</t>
  </si>
  <si>
    <t>Önkormányzatok működési támogatása</t>
  </si>
  <si>
    <t>B111</t>
  </si>
  <si>
    <t>Helyi önkormányzatok működésének általános támogatása</t>
  </si>
  <si>
    <t>Település-üzemeltetéshez kapcsolódó feladatellátás támogatása</t>
  </si>
  <si>
    <t>Zöld terület gazdálkodás</t>
  </si>
  <si>
    <t>Közvilágítás fenntartásának támogatása</t>
  </si>
  <si>
    <t>Köztemető fenntartással kapcsolatos feladatok támogatása</t>
  </si>
  <si>
    <t>Közutak fenntartásának támogatása</t>
  </si>
  <si>
    <t>Egyéb önkormányzati feladatok támogatása</t>
  </si>
  <si>
    <t>Lakott külterülettel kapcsolatos feladatok támogatások</t>
  </si>
  <si>
    <t>Üdülőhelyi feladatok támogatása</t>
  </si>
  <si>
    <t>Polgármesteri illetmény támogatása</t>
  </si>
  <si>
    <t>B113</t>
  </si>
  <si>
    <t>Települési önkormányzatok szociális,gyermekjóléti és gyermekétkeztetési feladatainak támogatása</t>
  </si>
  <si>
    <t>Falugondnoki vagy tanyagondnoki szolgálat</t>
  </si>
  <si>
    <t>Idősek átmenti és tartós szakosított ellátási feladatainak támogatása</t>
  </si>
  <si>
    <t xml:space="preserve">          Szakmai dolgozók bértámogatása</t>
  </si>
  <si>
    <t xml:space="preserve">          Intézmény-üzemeltetési támogatás</t>
  </si>
  <si>
    <t>Szociális ágazati és egészségügyi pótlék, kompenzáció</t>
  </si>
  <si>
    <t>Szociális feladatok egyéb támogatása</t>
  </si>
  <si>
    <t xml:space="preserve">B114 </t>
  </si>
  <si>
    <t>A települési önkormányzatok kulturális feladatainak támogatása</t>
  </si>
  <si>
    <t>B115</t>
  </si>
  <si>
    <t>Működési célú költségvetési támogatások és kiegészítő támogatások</t>
  </si>
  <si>
    <t>B16</t>
  </si>
  <si>
    <t>Egyéb működési célú támogatások bevételei államháztartáson belülről</t>
  </si>
  <si>
    <t>Egyéb működési célú támogatás elkülönített állami pénzalapoktól</t>
  </si>
  <si>
    <t>018020 Központi költségvetési befizetések</t>
  </si>
  <si>
    <t xml:space="preserve"> </t>
  </si>
  <si>
    <t>B814</t>
  </si>
  <si>
    <t>Államháztartáson belüli megelőlegezések</t>
  </si>
  <si>
    <t>062020 Településfejlesztési projektek és támogatásuk</t>
  </si>
  <si>
    <t>B25</t>
  </si>
  <si>
    <t>Felhalmozási célú önkormányzati támogatások</t>
  </si>
  <si>
    <t>B253</t>
  </si>
  <si>
    <t>Egyéb fejezeti kezelésű előirányzattól felhalmozási célú támogatások bevételei</t>
  </si>
  <si>
    <t>066020 Város -, községgazdálkodási egyéb szolgáltatások</t>
  </si>
  <si>
    <t>B21</t>
  </si>
  <si>
    <t>B410</t>
  </si>
  <si>
    <t>Biztosítók által fizetett kártérítések</t>
  </si>
  <si>
    <t>041233 Hosszabb időtartamú közfoglalkoztatás</t>
  </si>
  <si>
    <t>082092 Közművelődés- hagyományos közösségi kulturális értékek gondozása</t>
  </si>
  <si>
    <t>BEVÉTELEK ÖSSZESEN</t>
  </si>
  <si>
    <t>jogcím csoportonként</t>
  </si>
  <si>
    <t>Jogcím csoportok</t>
  </si>
  <si>
    <t>Előirányzat (Ft)</t>
  </si>
  <si>
    <t>módosított</t>
  </si>
  <si>
    <t>Szociális ágazati pótlék</t>
  </si>
  <si>
    <t>Egyéb működési célú támogatások bevételei államháztaráson belülről</t>
  </si>
  <si>
    <t>Egyéb működési bevétel</t>
  </si>
  <si>
    <t>BEVÉTELEK ÖSSZESEN:</t>
  </si>
  <si>
    <t>Előirányzatok adatok Ft-ban</t>
  </si>
  <si>
    <t xml:space="preserve">kötelező feladatok </t>
  </si>
  <si>
    <t>önként vállalt feladatok</t>
  </si>
  <si>
    <t>államigazgatási feladatok</t>
  </si>
  <si>
    <t>Összesen:</t>
  </si>
  <si>
    <t>011130 Önkormányzatok és önkormányzati hivatalok és j.ált. igazgatási tevékenysége</t>
  </si>
  <si>
    <t>066020 Város és községgazdálkodási szolgáltatás</t>
  </si>
  <si>
    <t>102023 Időskorúak tartós bentlakásos ellátása</t>
  </si>
  <si>
    <t>ÖSSZESEN:</t>
  </si>
  <si>
    <t>kiemelt előirányzatonként</t>
  </si>
  <si>
    <t>Létszám</t>
  </si>
  <si>
    <t>1,00</t>
  </si>
  <si>
    <t>Személyi juttatások</t>
  </si>
  <si>
    <t>K11</t>
  </si>
  <si>
    <t>Foglalkoztatottak személyi juttatása</t>
  </si>
  <si>
    <t>K1101</t>
  </si>
  <si>
    <t>Törvény szerinti illetmények, munkabérek</t>
  </si>
  <si>
    <t>K1103</t>
  </si>
  <si>
    <t>Jutalom</t>
  </si>
  <si>
    <t>K1109</t>
  </si>
  <si>
    <t>Közlekedési költségtérítés</t>
  </si>
  <si>
    <t>K1113</t>
  </si>
  <si>
    <t>Foglalkoztatottak egyéb személyi juttatásai</t>
  </si>
  <si>
    <t>K12</t>
  </si>
  <si>
    <t>Külső személyi juttatások</t>
  </si>
  <si>
    <t>K121</t>
  </si>
  <si>
    <t>Polgármester tiszteletdíja, költségtérítés</t>
  </si>
  <si>
    <t>Önkormányzati  képviselők juttatása</t>
  </si>
  <si>
    <t>Munkaadókat terhelő járulékok és szociális hozzájárulási adó</t>
  </si>
  <si>
    <t>Szociális hozzájárulási adó</t>
  </si>
  <si>
    <t>K31</t>
  </si>
  <si>
    <t>Készletbeszerzés</t>
  </si>
  <si>
    <t>K311</t>
  </si>
  <si>
    <t>Szakmai anyagok beszerzése</t>
  </si>
  <si>
    <t>Könyv, folyóirat</t>
  </si>
  <si>
    <t>K312</t>
  </si>
  <si>
    <t>Üzemeltetési anyagok berszerzése</t>
  </si>
  <si>
    <t>K32</t>
  </si>
  <si>
    <t>Kommunikációs szolgáltatások</t>
  </si>
  <si>
    <t>K321</t>
  </si>
  <si>
    <t>Informatikai szolgáltatások igénybevétele</t>
  </si>
  <si>
    <t>K322</t>
  </si>
  <si>
    <t>Egyéb kommunikációs szolgáltatások</t>
  </si>
  <si>
    <t>K33</t>
  </si>
  <si>
    <t>Szolgáltatási kiadások</t>
  </si>
  <si>
    <t>K331</t>
  </si>
  <si>
    <t>Közüzemi díjak</t>
  </si>
  <si>
    <t>K334</t>
  </si>
  <si>
    <t>Karbantartási, kisjavítási szolgáltatások</t>
  </si>
  <si>
    <t>K337</t>
  </si>
  <si>
    <t>Egyéb szolgáltatások</t>
  </si>
  <si>
    <t>Biztosítási díjak</t>
  </si>
  <si>
    <t>K34</t>
  </si>
  <si>
    <t>Kiküldetések,reklám és propagandakiadások</t>
  </si>
  <si>
    <t>K341</t>
  </si>
  <si>
    <t>Kiküldetés kiadásai</t>
  </si>
  <si>
    <t>K35</t>
  </si>
  <si>
    <t>Különféle befizetések és egyéb dologi kiadások</t>
  </si>
  <si>
    <t>K351</t>
  </si>
  <si>
    <t>Működési célú előzetesen felszámított áfa</t>
  </si>
  <si>
    <t>K353</t>
  </si>
  <si>
    <t>Kamatkiadások keletkezése</t>
  </si>
  <si>
    <t>K355</t>
  </si>
  <si>
    <t>Egyéb dologi kiadások</t>
  </si>
  <si>
    <t>K506</t>
  </si>
  <si>
    <t>Egyéb működési célú támogatások államháztartáson belülre</t>
  </si>
  <si>
    <t>K512</t>
  </si>
  <si>
    <t>Egyéb működési célú támogatások államháztartáson kívülre</t>
  </si>
  <si>
    <t>K513</t>
  </si>
  <si>
    <t>Tartalékok</t>
  </si>
  <si>
    <t>K914</t>
  </si>
  <si>
    <t>Államháztartáson belüli megelőlegezések visszafizetése</t>
  </si>
  <si>
    <t>K91</t>
  </si>
  <si>
    <t>Belföldi finanszírozás kiadásai</t>
  </si>
  <si>
    <t>K915</t>
  </si>
  <si>
    <t>Központi, irányító szervi támogatás folyósítása (Idősek Otthonának)</t>
  </si>
  <si>
    <t>Támogatásértékű működési kiadás önkormányzatoknak (Kővágóörsi Közös Önkormányzati Hivatal)</t>
  </si>
  <si>
    <t>Belső ellenőrzési feladatokhoz hozzájárulás</t>
  </si>
  <si>
    <t>Óvodai ellátás</t>
  </si>
  <si>
    <t>Védőnői szolgáltaás</t>
  </si>
  <si>
    <t>Tapolca környéki önkormányzati társulás (vezetői feladatok)</t>
  </si>
  <si>
    <t>Balaton-felvidéki Szociális. Gyermekjóléti és Háziorvosi Ügyeleti Szolgálat</t>
  </si>
  <si>
    <t>K123</t>
  </si>
  <si>
    <t>Egyszerűsített foglalkoztatottak juttatásai és közterhei</t>
  </si>
  <si>
    <t>Egyszerűsített foglalkoztatottak közterhei</t>
  </si>
  <si>
    <t>Más egyéb szolgáltatások</t>
  </si>
  <si>
    <t>K64</t>
  </si>
  <si>
    <t>Egyéb tárgyi eszközök beszerzése (gépek beszerzése)</t>
  </si>
  <si>
    <t>K67</t>
  </si>
  <si>
    <t>Beruházási célú előzetesen felszámított általános forgalmi adó</t>
  </si>
  <si>
    <t>K71</t>
  </si>
  <si>
    <t>K74</t>
  </si>
  <si>
    <t xml:space="preserve">Felújítási célú előzetesen felszámított áfa </t>
  </si>
  <si>
    <t>Egyéb anyagbeszerzés</t>
  </si>
  <si>
    <t>K61</t>
  </si>
  <si>
    <t>Immateriális javak beszerzése</t>
  </si>
  <si>
    <t>066010 Zöldterület - kezelés</t>
  </si>
  <si>
    <t>Üzemeltetési anyagok beszerzése</t>
  </si>
  <si>
    <t>064010 Közvilágítás</t>
  </si>
  <si>
    <t>Villamosenergia</t>
  </si>
  <si>
    <t>107055 Falugondnoki, tanyagondnoki szolgáltatás</t>
  </si>
  <si>
    <t>K1102</t>
  </si>
  <si>
    <t>Jutalmak</t>
  </si>
  <si>
    <t>K1106</t>
  </si>
  <si>
    <t>Jubileumi jutalmak</t>
  </si>
  <si>
    <t>Karbantartási, kis javítási szolgáltatások</t>
  </si>
  <si>
    <t>107060 Egyéb szociális pénzbeli és természetbeni ellátások, támogatások</t>
  </si>
  <si>
    <t>Ellátottak pénzbeli támogatásai</t>
  </si>
  <si>
    <t>K48</t>
  </si>
  <si>
    <t>Egyéb nem intézményi ellátások</t>
  </si>
  <si>
    <t>Települési támogatás</t>
  </si>
  <si>
    <t>106020 Lakásfenntartással, lakhatással összefüggő ellátások</t>
  </si>
  <si>
    <t>082044 Könyvtári szolgáltatások</t>
  </si>
  <si>
    <t>Internet</t>
  </si>
  <si>
    <t>082092 Közművelődés - hagyományos közösségi kulturális értékek gondozása</t>
  </si>
  <si>
    <t>Ingatlanok felújítása</t>
  </si>
  <si>
    <t>031060 Bűnmegelőzés</t>
  </si>
  <si>
    <t>Működési célú pénzeszköz átadás egyéb civil szervezeteknek</t>
  </si>
  <si>
    <t>032020 Tűz- és katasztrófavédelmi tevékenységek</t>
  </si>
  <si>
    <t>013350 Önkormányzati vagyonnal való gazdálkodással kapcsolatos feladatok</t>
  </si>
  <si>
    <t>K502</t>
  </si>
  <si>
    <t>Előző évi elszámolásokból származó kiadások</t>
  </si>
  <si>
    <r>
      <rPr>
        <b/>
        <sz val="12"/>
        <rFont val="Times New Roman"/>
        <family val="1"/>
        <charset val="238"/>
      </rPr>
      <t xml:space="preserve">KIADÁSOK ÖSSZESEN                                                                                   </t>
    </r>
    <r>
      <rPr>
        <b/>
        <i/>
        <sz val="12"/>
        <rFont val="Times New Roman"/>
        <family val="1"/>
        <charset val="238"/>
      </rPr>
      <t>fő</t>
    </r>
  </si>
  <si>
    <t>Kiadások Összesen:</t>
  </si>
  <si>
    <t>MINDSZENTKÁLLA  KÖZSÉG ÖNKORMÁNYZATA</t>
  </si>
  <si>
    <t xml:space="preserve"> Előirányzatok adatok Ft-ban</t>
  </si>
  <si>
    <t>011130 Önkormányzatokés önkormányzati hivatalok és j.ált. igazgatási tevékenysége</t>
  </si>
  <si>
    <t>066010 Zöldterületek kezelése</t>
  </si>
  <si>
    <t>064010 Közvilágítási feladatok</t>
  </si>
  <si>
    <t>107055 Falugondnoki szolgáltatás</t>
  </si>
  <si>
    <t>082092 Közművelődés-hagyományos közösségi kulturális értékek gondozása</t>
  </si>
  <si>
    <t>Tájékoztató adatok a MŰKÖDÉSI bevételek és kiadások alakulásáról</t>
  </si>
  <si>
    <t>Megnevezés</t>
  </si>
  <si>
    <t>2018. teljesítés (adatok Ft-ban)</t>
  </si>
  <si>
    <t>2019. teljesítés (adatok Ft-ban)</t>
  </si>
  <si>
    <t>2020. eredeti előirányzat (adatok Ft-ban)</t>
  </si>
  <si>
    <t>Működési célú bevételek összesen</t>
  </si>
  <si>
    <t>Munkaadókat terhelő járulékok</t>
  </si>
  <si>
    <t xml:space="preserve">Dologi kiadások </t>
  </si>
  <si>
    <t>Ellátottak pénzbeli juttatása</t>
  </si>
  <si>
    <t xml:space="preserve">K9 </t>
  </si>
  <si>
    <t>Működési célú kiadások összesen</t>
  </si>
  <si>
    <t>Tájékoztató adatok a FELHALMOZÁSI célú bevételek és kiadások alakulásáról</t>
  </si>
  <si>
    <t>2018 teljesítés (adatok Ft-ban)</t>
  </si>
  <si>
    <t>2020. eredeti előirányzat</t>
  </si>
  <si>
    <t>B5</t>
  </si>
  <si>
    <t>Felhalmozási bevételek</t>
  </si>
  <si>
    <t>B7</t>
  </si>
  <si>
    <t>Felhalmozási célú átvett pénzeszközök</t>
  </si>
  <si>
    <t>Felhalmozási célú bevételek összesen</t>
  </si>
  <si>
    <t xml:space="preserve">K8 </t>
  </si>
  <si>
    <t>Egyéb felhalmozási célú kiadások</t>
  </si>
  <si>
    <t>Felhalmozási célú kiadások összesen</t>
  </si>
  <si>
    <t>BEVÉTELEK összesen</t>
  </si>
  <si>
    <t>KIADÁSOK összesen</t>
  </si>
  <si>
    <t>(adatok Ft-ban)</t>
  </si>
  <si>
    <t>Ravatalozó felújítás</t>
  </si>
  <si>
    <t>Felújítások összesen:</t>
  </si>
  <si>
    <t>Beruházások összesen:</t>
  </si>
  <si>
    <t>KÁLI - MEDENCE IDŐSEK OTTHONA</t>
  </si>
  <si>
    <t xml:space="preserve">102023 Időskorúak tartós bentlakásos ellátása                             </t>
  </si>
  <si>
    <t>B161</t>
  </si>
  <si>
    <t>Elkülönített állami pénzalapoktól működési célú támogtások bevételei</t>
  </si>
  <si>
    <t>Ágazati pótlékra betervetezett pénzeszköz</t>
  </si>
  <si>
    <t>B405</t>
  </si>
  <si>
    <t>Ellátási díjak</t>
  </si>
  <si>
    <t>Biztosító által fizetett kártérítési díjak</t>
  </si>
  <si>
    <t>B816</t>
  </si>
  <si>
    <t>Központi, irányító szervi támogatás</t>
  </si>
  <si>
    <t xml:space="preserve">041233 Hosszabb időtartamú közfoglalkoztatás               </t>
  </si>
  <si>
    <t>Egyéb tárgyi eszközök beszerzése</t>
  </si>
  <si>
    <t>Tárgyi eszközök beszerzése, létesítése</t>
  </si>
  <si>
    <t>Ingatlanok felújítása (föld kábel elvezetése futballpálya)</t>
  </si>
  <si>
    <t>Földkábel elvezetése futballpálya</t>
  </si>
  <si>
    <t>1. melléklet a …../2021. (……...) önkormányzati rendelethez</t>
  </si>
  <si>
    <t>2021. évi Költségvetés Mérlege</t>
  </si>
  <si>
    <t>2. melléklet a …./2021. (……….) önkormányzati rendelethez</t>
  </si>
  <si>
    <t>2021. évi költségvetés bevételei</t>
  </si>
  <si>
    <t>3. melléklet a …./2021. (……...) önkormányzati rendelethez</t>
  </si>
  <si>
    <t>2021. évi BEVÉTELEK feladatonkénti  bontása</t>
  </si>
  <si>
    <t>4. melléklet a …../2021. (……....) önkormányzati rendelethez</t>
  </si>
  <si>
    <t>5. melléklet a .../2021. (……..) önkormányzati rendelethez</t>
  </si>
  <si>
    <t xml:space="preserve">2021. évi költségvetés kiadásai </t>
  </si>
  <si>
    <t>2021. évi KIADÁSOK feladatonkénti  bontása</t>
  </si>
  <si>
    <t xml:space="preserve">7. melléklet a .../2021. (……..) önkormányzati rendelethez  </t>
  </si>
  <si>
    <t>8. melléklet a .../2021. (…….) önkormányzati rendelethez</t>
  </si>
  <si>
    <t>2021. évi költségvetés FELÚJÍTÁSI kiadásai célonkénti bontásban</t>
  </si>
  <si>
    <t>9. melléklet a .../2021 (……...) önkormányzati rendelethez</t>
  </si>
  <si>
    <t>10. melléklet a .../2021. (……..) önkormányzati rendelethez</t>
  </si>
  <si>
    <t>2021. évi költségvetés BERUHÁZÁSI kiadásai feladatonkénti bontásban</t>
  </si>
  <si>
    <t>11. melléklet a …/2021. (……..) önkormányzati rendelethez</t>
  </si>
  <si>
    <t>2021. évi BEVÉTELEK részletezése</t>
  </si>
  <si>
    <t>Késedelmi és önellenőrzési pótlék és bírság</t>
  </si>
  <si>
    <t>Immateriális javak beszerzése (település fejlesztési koncepció)</t>
  </si>
  <si>
    <t>Egyéb külső személyi juttatások</t>
  </si>
  <si>
    <t>Ingatlanok felújítása (ravatalozó épület felújítása)</t>
  </si>
  <si>
    <t>Ingatlanok felújítása (Út felújitás Mindszentkálla 358 hrsz)</t>
  </si>
  <si>
    <t>Üzemeltetési anyagok beszerzése (szociális tüzifa)</t>
  </si>
  <si>
    <t>Településfejlesztési koncepció</t>
  </si>
  <si>
    <t>Gépek beszerzése zöld terület kezelésre</t>
  </si>
  <si>
    <t>Mindszentkálla 358 hrsz. út burkolatfelújítási munkái</t>
  </si>
  <si>
    <t>12. melléklet a ..../2021. (…....) önkormányzati rendelethez</t>
  </si>
  <si>
    <t>2021. évi KIADÁSOK részletezése</t>
  </si>
  <si>
    <t>Létszám (fő)</t>
  </si>
  <si>
    <t>Jubielumi jutalom</t>
  </si>
  <si>
    <t>K1104</t>
  </si>
  <si>
    <t>Készenléti, ügyeleti, helyettesítési díj, túlóra</t>
  </si>
  <si>
    <t>K1107</t>
  </si>
  <si>
    <t>Béren kívüli juttatások</t>
  </si>
  <si>
    <t>Munkáltató terhelő SZJA kiadásai</t>
  </si>
  <si>
    <t>Kommunikációs és informatikai szolgáltatások</t>
  </si>
  <si>
    <t xml:space="preserve">K332 </t>
  </si>
  <si>
    <t>Vásárolt élelmezés</t>
  </si>
  <si>
    <t>Belföldi kiküldetés</t>
  </si>
  <si>
    <t>Kamatkiadások</t>
  </si>
  <si>
    <t>Beruházási célú előzetesen felszámított áfa</t>
  </si>
  <si>
    <t>jutalom</t>
  </si>
  <si>
    <t>Létszámkeret:</t>
  </si>
  <si>
    <t>Kiadások összesen:</t>
  </si>
  <si>
    <t>6. melléklet a .../2021. (……..) önkormányzati rendelethez</t>
  </si>
  <si>
    <t>13. melléklet a .../2021. (…....)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</si>
</sst>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F_t_-;\-* #,##0.00\ _F_t_-;_-* \-??\ _F_t_-;_-@_-"/>
    <numFmt numFmtId="165" formatCode="_-* #,##0\ _F_t_-;\-* #,##0\ _F_t_-;_-* \-??\ _F_t_-;_-@_-"/>
    <numFmt numFmtId="166" formatCode="#,##0_ ;\-#,##0\ "/>
  </numFmts>
  <fonts count="20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sz val="12"/>
      <name val="Times New Roman"/>
      <family val="1"/>
      <charset val="238"/>
    </font>
    <font>
      <sz val="12"/>
      <color indexed="6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0"/>
      <name val="Arial"/>
      <family val="2"/>
      <charset val="238"/>
    </font>
    <font>
      <sz val="12"/>
      <color indexed="12"/>
      <name val="Times New Roman"/>
      <family val="1"/>
      <charset val="238"/>
    </font>
    <font>
      <sz val="10"/>
      <color indexed="62"/>
      <name val="Arial"/>
      <family val="2"/>
      <charset val="238"/>
    </font>
    <font>
      <sz val="10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9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sz val="12"/>
      <name val="Arial"/>
      <family val="2"/>
      <charset val="238"/>
    </font>
    <font>
      <sz val="12"/>
      <color indexed="20"/>
      <name val="Arial"/>
      <family val="2"/>
      <charset val="238"/>
    </font>
    <font>
      <b/>
      <sz val="12"/>
      <color indexed="20"/>
      <name val="Times New Roman"/>
      <family val="1"/>
      <charset val="238"/>
    </font>
    <font>
      <sz val="10"/>
      <color indexed="62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Arial"/>
      <family val="2"/>
      <charset val="238"/>
    </font>
    <font>
      <sz val="14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47"/>
      </patternFill>
    </fill>
    <fill>
      <patternFill patternType="solid">
        <fgColor indexed="47"/>
        <bgColor indexed="26"/>
      </patternFill>
    </fill>
  </fills>
  <borders count="3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hair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hair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hair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/>
      <right style="hair">
        <color indexed="8"/>
      </right>
      <top style="thin">
        <color indexed="8"/>
      </top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hair">
        <color indexed="8"/>
      </left>
      <right/>
      <top style="thin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hair">
        <color indexed="8"/>
      </top>
      <bottom/>
      <diagonal/>
    </border>
  </borders>
  <cellStyleXfs count="9">
    <xf numFmtId="0" fontId="0" fillId="0" borderId="0"/>
    <xf numFmtId="164" fontId="1" fillId="0" borderId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164" fontId="18" fillId="0" borderId="0" applyFill="0" applyBorder="0" applyAlignment="0" applyProtection="0"/>
  </cellStyleXfs>
  <cellXfs count="334">
    <xf numFmtId="0" fontId="0" fillId="0" borderId="0" xfId="0"/>
    <xf numFmtId="0" fontId="0" fillId="0" borderId="0" xfId="0" applyFont="1"/>
    <xf numFmtId="3" fontId="0" fillId="0" borderId="0" xfId="0" applyNumberFormat="1" applyFont="1"/>
    <xf numFmtId="3" fontId="2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vertical="center"/>
    </xf>
    <xf numFmtId="0" fontId="3" fillId="0" borderId="0" xfId="0" applyFont="1"/>
    <xf numFmtId="3" fontId="3" fillId="0" borderId="0" xfId="0" applyNumberFormat="1" applyFont="1"/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/>
    <xf numFmtId="3" fontId="4" fillId="0" borderId="2" xfId="0" applyNumberFormat="1" applyFont="1" applyBorder="1"/>
    <xf numFmtId="0" fontId="2" fillId="0" borderId="0" xfId="0" applyFont="1" applyAlignment="1">
      <alignment horizontal="left"/>
    </xf>
    <xf numFmtId="3" fontId="2" fillId="0" borderId="2" xfId="0" applyNumberFormat="1" applyFont="1" applyBorder="1"/>
    <xf numFmtId="0" fontId="4" fillId="0" borderId="0" xfId="0" applyFont="1" applyAlignment="1">
      <alignment horizontal="left"/>
    </xf>
    <xf numFmtId="0" fontId="4" fillId="2" borderId="3" xfId="0" applyFont="1" applyFill="1" applyBorder="1"/>
    <xf numFmtId="3" fontId="4" fillId="2" borderId="4" xfId="0" applyNumberFormat="1" applyFont="1" applyFill="1" applyBorder="1"/>
    <xf numFmtId="0" fontId="2" fillId="0" borderId="3" xfId="0" applyFont="1" applyBorder="1"/>
    <xf numFmtId="0" fontId="4" fillId="0" borderId="5" xfId="0" applyFont="1" applyBorder="1"/>
    <xf numFmtId="3" fontId="4" fillId="0" borderId="6" xfId="0" applyNumberFormat="1" applyFont="1" applyBorder="1"/>
    <xf numFmtId="3" fontId="5" fillId="0" borderId="0" xfId="0" applyNumberFormat="1" applyFont="1"/>
    <xf numFmtId="0" fontId="5" fillId="0" borderId="0" xfId="0" applyFont="1"/>
    <xf numFmtId="0" fontId="2" fillId="0" borderId="0" xfId="0" applyFont="1" applyAlignment="1">
      <alignment horizontal="justify"/>
    </xf>
    <xf numFmtId="3" fontId="0" fillId="0" borderId="0" xfId="0" applyNumberFormat="1"/>
    <xf numFmtId="0" fontId="4" fillId="0" borderId="0" xfId="0" applyFont="1" applyAlignment="1">
      <alignment horizontal="justify"/>
    </xf>
    <xf numFmtId="0" fontId="5" fillId="2" borderId="3" xfId="0" applyFont="1" applyFill="1" applyBorder="1"/>
    <xf numFmtId="0" fontId="4" fillId="2" borderId="3" xfId="0" applyFont="1" applyFill="1" applyBorder="1" applyAlignment="1">
      <alignment horizontal="justify"/>
    </xf>
    <xf numFmtId="165" fontId="1" fillId="0" borderId="0" xfId="1" applyNumberFormat="1" applyFill="1" applyBorder="1" applyAlignment="1" applyProtection="1"/>
    <xf numFmtId="0" fontId="0" fillId="0" borderId="0" xfId="6" applyFont="1"/>
    <xf numFmtId="2" fontId="2" fillId="0" borderId="0" xfId="0" applyNumberFormat="1" applyFon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3" borderId="0" xfId="0" applyFont="1" applyFill="1" applyAlignment="1">
      <alignment horizontal="left"/>
    </xf>
    <xf numFmtId="3" fontId="4" fillId="3" borderId="0" xfId="0" applyNumberFormat="1" applyFont="1" applyFill="1" applyAlignment="1">
      <alignment horizontal="right" wrapText="1"/>
    </xf>
    <xf numFmtId="3" fontId="4" fillId="0" borderId="0" xfId="0" applyNumberFormat="1" applyFont="1"/>
    <xf numFmtId="3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left"/>
    </xf>
    <xf numFmtId="3" fontId="4" fillId="3" borderId="0" xfId="0" applyNumberFormat="1" applyFont="1" applyFill="1" applyAlignment="1">
      <alignment horizontal="right"/>
    </xf>
    <xf numFmtId="0" fontId="2" fillId="0" borderId="0" xfId="0" applyFont="1" applyAlignment="1">
      <alignment horizontal="center"/>
    </xf>
    <xf numFmtId="3" fontId="4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2" fontId="4" fillId="0" borderId="0" xfId="0" applyNumberFormat="1" applyFont="1"/>
    <xf numFmtId="0" fontId="4" fillId="3" borderId="0" xfId="0" applyFont="1" applyFill="1"/>
    <xf numFmtId="3" fontId="4" fillId="3" borderId="0" xfId="0" applyNumberFormat="1" applyFont="1" applyFill="1"/>
    <xf numFmtId="3" fontId="2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center"/>
    </xf>
    <xf numFmtId="0" fontId="2" fillId="0" borderId="0" xfId="0" applyFont="1" applyAlignment="1">
      <alignment wrapText="1"/>
    </xf>
    <xf numFmtId="3" fontId="2" fillId="0" borderId="0" xfId="0" applyNumberFormat="1" applyFont="1" applyAlignment="1">
      <alignment horizontal="center" wrapText="1"/>
    </xf>
    <xf numFmtId="3" fontId="2" fillId="0" borderId="0" xfId="0" applyNumberFormat="1" applyFont="1" applyAlignment="1">
      <alignment horizontal="right" wrapText="1"/>
    </xf>
    <xf numFmtId="3" fontId="4" fillId="3" borderId="0" xfId="0" applyNumberFormat="1" applyFont="1" applyFill="1" applyAlignment="1">
      <alignment horizontal="center"/>
    </xf>
    <xf numFmtId="0" fontId="4" fillId="0" borderId="7" xfId="0" applyFont="1" applyBorder="1" applyAlignment="1">
      <alignment horizontal="left"/>
    </xf>
    <xf numFmtId="0" fontId="2" fillId="0" borderId="0" xfId="0" applyFont="1" applyFill="1"/>
    <xf numFmtId="2" fontId="2" fillId="0" borderId="0" xfId="0" applyNumberFormat="1" applyFont="1" applyFill="1"/>
    <xf numFmtId="0" fontId="4" fillId="0" borderId="0" xfId="0" applyFont="1" applyFill="1" applyAlignment="1">
      <alignment horizontal="left"/>
    </xf>
    <xf numFmtId="0" fontId="4" fillId="0" borderId="0" xfId="0" applyFont="1" applyFill="1"/>
    <xf numFmtId="0" fontId="4" fillId="0" borderId="7" xfId="0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horizontal="right"/>
    </xf>
    <xf numFmtId="3" fontId="2" fillId="0" borderId="8" xfId="0" applyNumberFormat="1" applyFont="1" applyFill="1" applyBorder="1"/>
    <xf numFmtId="0" fontId="4" fillId="0" borderId="0" xfId="0" applyFont="1" applyFill="1" applyAlignment="1"/>
    <xf numFmtId="3" fontId="4" fillId="0" borderId="0" xfId="0" applyNumberFormat="1" applyFont="1" applyFill="1"/>
    <xf numFmtId="2" fontId="4" fillId="0" borderId="0" xfId="0" applyNumberFormat="1" applyFont="1" applyFill="1"/>
    <xf numFmtId="3" fontId="2" fillId="0" borderId="9" xfId="0" applyNumberFormat="1" applyFont="1" applyFill="1" applyBorder="1"/>
    <xf numFmtId="0" fontId="4" fillId="3" borderId="10" xfId="0" applyFont="1" applyFill="1" applyBorder="1"/>
    <xf numFmtId="0" fontId="4" fillId="3" borderId="11" xfId="0" applyFont="1" applyFill="1" applyBorder="1"/>
    <xf numFmtId="3" fontId="4" fillId="3" borderId="11" xfId="0" applyNumberFormat="1" applyFont="1" applyFill="1" applyBorder="1"/>
    <xf numFmtId="165" fontId="0" fillId="0" borderId="0" xfId="1" applyNumberFormat="1" applyFont="1" applyFill="1" applyBorder="1" applyAlignment="1" applyProtection="1"/>
    <xf numFmtId="0" fontId="3" fillId="0" borderId="0" xfId="0" applyFont="1" applyAlignment="1">
      <alignment horizontal="center"/>
    </xf>
    <xf numFmtId="2" fontId="3" fillId="0" borderId="0" xfId="0" applyNumberFormat="1" applyFont="1"/>
    <xf numFmtId="0" fontId="4" fillId="3" borderId="1" xfId="0" applyFont="1" applyFill="1" applyBorder="1" applyAlignment="1">
      <alignment horizontal="center" vertical="center" wrapText="1"/>
    </xf>
    <xf numFmtId="3" fontId="4" fillId="0" borderId="12" xfId="0" applyNumberFormat="1" applyFont="1" applyBorder="1"/>
    <xf numFmtId="3" fontId="4" fillId="0" borderId="0" xfId="0" applyNumberFormat="1" applyFont="1" applyAlignment="1">
      <alignment horizontal="center" wrapText="1"/>
    </xf>
    <xf numFmtId="2" fontId="4" fillId="0" borderId="0" xfId="0" applyNumberFormat="1" applyFont="1" applyAlignment="1">
      <alignment horizontal="center" wrapText="1"/>
    </xf>
    <xf numFmtId="3" fontId="2" fillId="0" borderId="8" xfId="0" applyNumberFormat="1" applyFont="1" applyBorder="1"/>
    <xf numFmtId="3" fontId="2" fillId="0" borderId="8" xfId="0" applyNumberFormat="1" applyFont="1" applyBorder="1" applyAlignment="1">
      <alignment horizontal="right"/>
    </xf>
    <xf numFmtId="3" fontId="2" fillId="0" borderId="8" xfId="0" applyNumberFormat="1" applyFont="1" applyBorder="1" applyAlignment="1">
      <alignment horizontal="center"/>
    </xf>
    <xf numFmtId="3" fontId="2" fillId="0" borderId="8" xfId="0" applyNumberFormat="1" applyFont="1" applyBorder="1" applyAlignment="1">
      <alignment horizontal="center" wrapText="1"/>
    </xf>
    <xf numFmtId="3" fontId="6" fillId="0" borderId="0" xfId="0" applyNumberFormat="1" applyFont="1" applyAlignment="1">
      <alignment horizontal="center"/>
    </xf>
    <xf numFmtId="3" fontId="4" fillId="0" borderId="8" xfId="0" applyNumberFormat="1" applyFont="1" applyBorder="1" applyAlignment="1">
      <alignment horizontal="center"/>
    </xf>
    <xf numFmtId="3" fontId="4" fillId="0" borderId="8" xfId="0" applyNumberFormat="1" applyFont="1" applyBorder="1"/>
    <xf numFmtId="3" fontId="2" fillId="0" borderId="8" xfId="0" applyNumberFormat="1" applyFont="1" applyBorder="1" applyAlignment="1">
      <alignment horizontal="left"/>
    </xf>
    <xf numFmtId="3" fontId="4" fillId="0" borderId="8" xfId="0" applyNumberFormat="1" applyFont="1" applyBorder="1" applyAlignment="1">
      <alignment horizontal="right"/>
    </xf>
    <xf numFmtId="3" fontId="4" fillId="3" borderId="13" xfId="0" applyNumberFormat="1" applyFont="1" applyFill="1" applyBorder="1"/>
    <xf numFmtId="0" fontId="7" fillId="0" borderId="0" xfId="0" applyFont="1"/>
    <xf numFmtId="3" fontId="7" fillId="0" borderId="0" xfId="0" applyNumberFormat="1" applyFont="1"/>
    <xf numFmtId="0" fontId="1" fillId="0" borderId="0" xfId="4"/>
    <xf numFmtId="0" fontId="0" fillId="0" borderId="0" xfId="4" applyFont="1"/>
    <xf numFmtId="0" fontId="3" fillId="0" borderId="0" xfId="4" applyFont="1" applyAlignment="1">
      <alignment horizontal="center"/>
    </xf>
    <xf numFmtId="0" fontId="7" fillId="0" borderId="0" xfId="4" applyFont="1"/>
    <xf numFmtId="0" fontId="4" fillId="0" borderId="1" xfId="4" applyFont="1" applyBorder="1" applyAlignment="1">
      <alignment horizontal="center" vertical="center"/>
    </xf>
    <xf numFmtId="0" fontId="4" fillId="0" borderId="1" xfId="4" applyFont="1" applyBorder="1" applyAlignment="1">
      <alignment horizontal="center" vertical="center" wrapText="1"/>
    </xf>
    <xf numFmtId="0" fontId="4" fillId="0" borderId="0" xfId="4" applyFont="1" applyAlignment="1">
      <alignment horizontal="left"/>
    </xf>
    <xf numFmtId="3" fontId="2" fillId="0" borderId="0" xfId="4" applyNumberFormat="1" applyFont="1" applyAlignment="1">
      <alignment horizontal="right"/>
    </xf>
    <xf numFmtId="0" fontId="2" fillId="0" borderId="0" xfId="4" applyFont="1" applyAlignment="1">
      <alignment horizontal="right"/>
    </xf>
    <xf numFmtId="3" fontId="2" fillId="0" borderId="0" xfId="4" applyNumberFormat="1" applyFont="1"/>
    <xf numFmtId="49" fontId="4" fillId="0" borderId="0" xfId="4" applyNumberFormat="1" applyFont="1" applyAlignment="1">
      <alignment horizontal="left"/>
    </xf>
    <xf numFmtId="0" fontId="4" fillId="0" borderId="0" xfId="0" applyFont="1" applyAlignment="1">
      <alignment wrapText="1"/>
    </xf>
    <xf numFmtId="3" fontId="2" fillId="0" borderId="0" xfId="0" applyNumberFormat="1" applyFont="1" applyAlignment="1">
      <alignment wrapText="1"/>
    </xf>
    <xf numFmtId="0" fontId="8" fillId="0" borderId="0" xfId="4" applyFont="1"/>
    <xf numFmtId="0" fontId="4" fillId="0" borderId="1" xfId="4" applyFont="1" applyBorder="1" applyAlignment="1">
      <alignment horizontal="left"/>
    </xf>
    <xf numFmtId="3" fontId="4" fillId="0" borderId="1" xfId="4" applyNumberFormat="1" applyFont="1" applyBorder="1"/>
    <xf numFmtId="3" fontId="0" fillId="0" borderId="0" xfId="4" applyNumberFormat="1" applyFont="1"/>
    <xf numFmtId="0" fontId="2" fillId="0" borderId="0" xfId="6" applyFont="1" applyAlignment="1">
      <alignment horizontal="right"/>
    </xf>
    <xf numFmtId="0" fontId="0" fillId="0" borderId="0" xfId="0" applyFont="1" applyAlignment="1">
      <alignment horizontal="right"/>
    </xf>
    <xf numFmtId="0" fontId="2" fillId="0" borderId="0" xfId="0" applyFont="1" applyAlignment="1">
      <alignment horizontal="center" vertical="center"/>
    </xf>
    <xf numFmtId="49" fontId="4" fillId="3" borderId="2" xfId="0" applyNumberFormat="1" applyFont="1" applyFill="1" applyBorder="1" applyAlignment="1">
      <alignment horizontal="right"/>
    </xf>
    <xf numFmtId="3" fontId="4" fillId="3" borderId="6" xfId="0" applyNumberFormat="1" applyFont="1" applyFill="1" applyBorder="1" applyAlignment="1">
      <alignment horizontal="right"/>
    </xf>
    <xf numFmtId="0" fontId="4" fillId="0" borderId="2" xfId="0" applyFont="1" applyBorder="1" applyAlignment="1">
      <alignment horizontal="left"/>
    </xf>
    <xf numFmtId="3" fontId="4" fillId="0" borderId="2" xfId="0" applyNumberFormat="1" applyFont="1" applyBorder="1" applyAlignment="1">
      <alignment horizontal="right"/>
    </xf>
    <xf numFmtId="0" fontId="2" fillId="0" borderId="2" xfId="0" applyFont="1" applyBorder="1" applyAlignment="1">
      <alignment horizontal="left"/>
    </xf>
    <xf numFmtId="3" fontId="2" fillId="0" borderId="2" xfId="0" applyNumberFormat="1" applyFont="1" applyBorder="1" applyAlignment="1">
      <alignment horizontal="center"/>
    </xf>
    <xf numFmtId="3" fontId="2" fillId="0" borderId="2" xfId="0" applyNumberFormat="1" applyFont="1" applyBorder="1" applyAlignment="1">
      <alignment horizontal="right"/>
    </xf>
    <xf numFmtId="0" fontId="4" fillId="0" borderId="2" xfId="0" applyFont="1" applyBorder="1"/>
    <xf numFmtId="0" fontId="4" fillId="0" borderId="2" xfId="0" applyFont="1" applyBorder="1" applyAlignment="1">
      <alignment horizontal="left" wrapText="1"/>
    </xf>
    <xf numFmtId="0" fontId="2" fillId="0" borderId="2" xfId="0" applyFont="1" applyBorder="1"/>
    <xf numFmtId="3" fontId="2" fillId="0" borderId="2" xfId="0" applyNumberFormat="1" applyFont="1" applyBorder="1" applyAlignment="1">
      <alignment horizontal="left"/>
    </xf>
    <xf numFmtId="165" fontId="2" fillId="0" borderId="8" xfId="1" applyNumberFormat="1" applyFont="1" applyFill="1" applyBorder="1" applyAlignment="1" applyProtection="1">
      <alignment vertical="center"/>
    </xf>
    <xf numFmtId="0" fontId="2" fillId="0" borderId="2" xfId="0" applyFont="1" applyBorder="1" applyAlignment="1">
      <alignment horizontal="right"/>
    </xf>
    <xf numFmtId="0" fontId="4" fillId="3" borderId="2" xfId="0" applyFont="1" applyFill="1" applyBorder="1" applyAlignment="1">
      <alignment horizontal="left"/>
    </xf>
    <xf numFmtId="3" fontId="4" fillId="3" borderId="2" xfId="0" applyNumberFormat="1" applyFont="1" applyFill="1" applyBorder="1" applyAlignment="1">
      <alignment horizontal="right"/>
    </xf>
    <xf numFmtId="49" fontId="4" fillId="3" borderId="2" xfId="0" applyNumberFormat="1" applyFont="1" applyFill="1" applyBorder="1" applyAlignment="1">
      <alignment horizontal="left"/>
    </xf>
    <xf numFmtId="0" fontId="2" fillId="0" borderId="2" xfId="0" applyFont="1" applyBorder="1" applyAlignment="1">
      <alignment wrapText="1"/>
    </xf>
    <xf numFmtId="0" fontId="4" fillId="0" borderId="8" xfId="0" applyFont="1" applyBorder="1"/>
    <xf numFmtId="3" fontId="4" fillId="0" borderId="8" xfId="0" applyNumberFormat="1" applyFont="1" applyBorder="1" applyAlignment="1">
      <alignment horizontal="left"/>
    </xf>
    <xf numFmtId="0" fontId="10" fillId="0" borderId="0" xfId="0" applyFont="1" applyAlignment="1">
      <alignment horizontal="left"/>
    </xf>
    <xf numFmtId="3" fontId="4" fillId="3" borderId="2" xfId="0" applyNumberFormat="1" applyFont="1" applyFill="1" applyBorder="1"/>
    <xf numFmtId="2" fontId="4" fillId="3" borderId="2" xfId="0" applyNumberFormat="1" applyFont="1" applyFill="1" applyBorder="1" applyAlignment="1">
      <alignment horizontal="right"/>
    </xf>
    <xf numFmtId="3" fontId="2" fillId="0" borderId="14" xfId="0" applyNumberFormat="1" applyFont="1" applyBorder="1" applyAlignment="1">
      <alignment horizontal="left"/>
    </xf>
    <xf numFmtId="3" fontId="2" fillId="0" borderId="14" xfId="0" applyNumberFormat="1" applyFont="1" applyBorder="1" applyAlignment="1">
      <alignment horizontal="right"/>
    </xf>
    <xf numFmtId="3" fontId="4" fillId="0" borderId="2" xfId="0" applyNumberFormat="1" applyFont="1" applyBorder="1" applyAlignment="1">
      <alignment horizontal="left"/>
    </xf>
    <xf numFmtId="3" fontId="2" fillId="0" borderId="14" xfId="0" applyNumberFormat="1" applyFont="1" applyBorder="1" applyAlignment="1">
      <alignment horizontal="center"/>
    </xf>
    <xf numFmtId="0" fontId="2" fillId="0" borderId="8" xfId="0" applyFont="1" applyBorder="1" applyAlignment="1">
      <alignment horizontal="left"/>
    </xf>
    <xf numFmtId="3" fontId="2" fillId="0" borderId="2" xfId="0" applyNumberFormat="1" applyFont="1" applyBorder="1" applyAlignment="1">
      <alignment horizontal="center" vertical="center"/>
    </xf>
    <xf numFmtId="3" fontId="4" fillId="0" borderId="14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left"/>
    </xf>
    <xf numFmtId="3" fontId="2" fillId="0" borderId="0" xfId="0" applyNumberFormat="1" applyFont="1" applyBorder="1" applyAlignment="1">
      <alignment horizontal="center"/>
    </xf>
    <xf numFmtId="3" fontId="2" fillId="0" borderId="0" xfId="0" applyNumberFormat="1" applyFont="1" applyFill="1" applyAlignment="1">
      <alignment horizontal="right"/>
    </xf>
    <xf numFmtId="3" fontId="4" fillId="0" borderId="0" xfId="0" applyNumberFormat="1" applyFont="1" applyFill="1" applyAlignment="1">
      <alignment horizontal="right"/>
    </xf>
    <xf numFmtId="0" fontId="4" fillId="3" borderId="2" xfId="0" applyFont="1" applyFill="1" applyBorder="1" applyAlignment="1">
      <alignment horizontal="right"/>
    </xf>
    <xf numFmtId="0" fontId="4" fillId="0" borderId="2" xfId="0" applyFont="1" applyFill="1" applyBorder="1" applyAlignment="1">
      <alignment horizontal="left"/>
    </xf>
    <xf numFmtId="0" fontId="4" fillId="0" borderId="2" xfId="0" applyFont="1" applyFill="1" applyBorder="1" applyAlignment="1"/>
    <xf numFmtId="0" fontId="4" fillId="3" borderId="11" xfId="0" applyFont="1" applyFill="1" applyBorder="1" applyAlignment="1">
      <alignment horizontal="left"/>
    </xf>
    <xf numFmtId="3" fontId="4" fillId="3" borderId="11" xfId="0" applyNumberFormat="1" applyFont="1" applyFill="1" applyBorder="1" applyAlignment="1">
      <alignment horizontal="left"/>
    </xf>
    <xf numFmtId="3" fontId="4" fillId="3" borderId="11" xfId="0" applyNumberFormat="1" applyFont="1" applyFill="1" applyBorder="1" applyAlignment="1">
      <alignment horizontal="right"/>
    </xf>
    <xf numFmtId="0" fontId="3" fillId="0" borderId="0" xfId="0" applyFont="1" applyAlignment="1">
      <alignment horizontal="left"/>
    </xf>
    <xf numFmtId="4" fontId="2" fillId="0" borderId="0" xfId="0" applyNumberFormat="1" applyFont="1" applyAlignment="1">
      <alignment horizontal="left"/>
    </xf>
    <xf numFmtId="3" fontId="1" fillId="0" borderId="0" xfId="4" applyNumberFormat="1"/>
    <xf numFmtId="165" fontId="12" fillId="0" borderId="0" xfId="1" applyNumberFormat="1" applyFont="1" applyFill="1" applyBorder="1" applyAlignment="1" applyProtection="1">
      <alignment horizontal="center" vertical="center"/>
    </xf>
    <xf numFmtId="0" fontId="2" fillId="0" borderId="0" xfId="2"/>
    <xf numFmtId="0" fontId="2" fillId="0" borderId="0" xfId="2" applyAlignment="1">
      <alignment horizontal="center"/>
    </xf>
    <xf numFmtId="0" fontId="4" fillId="0" borderId="3" xfId="2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 wrapText="1"/>
    </xf>
    <xf numFmtId="0" fontId="2" fillId="0" borderId="0" xfId="4" applyFont="1" applyAlignment="1">
      <alignment horizontal="left"/>
    </xf>
    <xf numFmtId="0" fontId="2" fillId="0" borderId="0" xfId="4" applyFont="1"/>
    <xf numFmtId="3" fontId="2" fillId="0" borderId="0" xfId="2" applyNumberFormat="1" applyAlignment="1">
      <alignment horizontal="right" vertical="center" wrapText="1"/>
    </xf>
    <xf numFmtId="0" fontId="2" fillId="0" borderId="0" xfId="2" applyFont="1" applyAlignment="1">
      <alignment vertical="center" wrapText="1"/>
    </xf>
    <xf numFmtId="0" fontId="2" fillId="0" borderId="3" xfId="2" applyBorder="1"/>
    <xf numFmtId="0" fontId="4" fillId="0" borderId="3" xfId="2" applyFont="1" applyBorder="1" applyAlignment="1">
      <alignment wrapText="1"/>
    </xf>
    <xf numFmtId="3" fontId="4" fillId="0" borderId="3" xfId="2" applyNumberFormat="1" applyFont="1" applyBorder="1" applyAlignment="1">
      <alignment vertical="center"/>
    </xf>
    <xf numFmtId="0" fontId="4" fillId="0" borderId="0" xfId="2" applyFont="1" applyAlignment="1">
      <alignment wrapText="1"/>
    </xf>
    <xf numFmtId="0" fontId="2" fillId="0" borderId="0" xfId="4" applyFont="1" applyAlignment="1">
      <alignment horizontal="justify"/>
    </xf>
    <xf numFmtId="3" fontId="4" fillId="0" borderId="3" xfId="2" applyNumberFormat="1" applyFont="1" applyBorder="1" applyAlignment="1">
      <alignment horizontal="right" wrapText="1"/>
    </xf>
    <xf numFmtId="4" fontId="2" fillId="0" borderId="0" xfId="2" applyNumberFormat="1"/>
    <xf numFmtId="3" fontId="2" fillId="0" borderId="0" xfId="2" applyNumberFormat="1"/>
    <xf numFmtId="0" fontId="2" fillId="0" borderId="0" xfId="2" applyAlignment="1">
      <alignment horizontal="right"/>
    </xf>
    <xf numFmtId="0" fontId="4" fillId="0" borderId="15" xfId="2" applyFont="1" applyBorder="1" applyAlignment="1">
      <alignment horizontal="center" vertical="center" wrapText="1"/>
    </xf>
    <xf numFmtId="3" fontId="2" fillId="0" borderId="14" xfId="2" applyNumberFormat="1" applyBorder="1" applyAlignment="1">
      <alignment horizontal="right" vertical="center" wrapText="1"/>
    </xf>
    <xf numFmtId="3" fontId="4" fillId="0" borderId="3" xfId="2" applyNumberFormat="1" applyFont="1" applyBorder="1" applyAlignment="1">
      <alignment horizontal="right" vertical="center" wrapText="1"/>
    </xf>
    <xf numFmtId="0" fontId="2" fillId="0" borderId="11" xfId="2" applyBorder="1"/>
    <xf numFmtId="0" fontId="4" fillId="0" borderId="11" xfId="2" applyFont="1" applyBorder="1" applyAlignment="1">
      <alignment wrapText="1"/>
    </xf>
    <xf numFmtId="3" fontId="4" fillId="0" borderId="11" xfId="2" applyNumberFormat="1" applyFont="1" applyBorder="1" applyAlignment="1">
      <alignment wrapText="1"/>
    </xf>
    <xf numFmtId="0" fontId="13" fillId="0" borderId="0" xfId="0" applyFont="1"/>
    <xf numFmtId="3" fontId="2" fillId="0" borderId="13" xfId="0" applyNumberFormat="1" applyFont="1" applyBorder="1"/>
    <xf numFmtId="3" fontId="4" fillId="0" borderId="1" xfId="0" applyNumberFormat="1" applyFont="1" applyBorder="1" applyAlignment="1">
      <alignment horizontal="right"/>
    </xf>
    <xf numFmtId="0" fontId="14" fillId="0" borderId="0" xfId="0" applyFont="1"/>
    <xf numFmtId="3" fontId="15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18" fillId="0" borderId="0" xfId="5"/>
    <xf numFmtId="0" fontId="2" fillId="0" borderId="0" xfId="5" applyFont="1" applyBorder="1" applyAlignment="1">
      <alignment horizontal="right"/>
    </xf>
    <xf numFmtId="0" fontId="2" fillId="0" borderId="0" xfId="5" applyFont="1" applyAlignment="1">
      <alignment horizontal="right"/>
    </xf>
    <xf numFmtId="0" fontId="0" fillId="0" borderId="0" xfId="0" applyAlignment="1">
      <alignment horizontal="right"/>
    </xf>
    <xf numFmtId="0" fontId="2" fillId="0" borderId="0" xfId="3"/>
    <xf numFmtId="0" fontId="2" fillId="0" borderId="0" xfId="3" applyAlignment="1">
      <alignment horizontal="center" vertical="center"/>
    </xf>
    <xf numFmtId="3" fontId="4" fillId="0" borderId="1" xfId="3" applyNumberFormat="1" applyFont="1" applyBorder="1" applyAlignment="1">
      <alignment horizontal="center"/>
    </xf>
    <xf numFmtId="3" fontId="4" fillId="0" borderId="1" xfId="3" applyNumberFormat="1" applyFont="1" applyBorder="1" applyAlignment="1">
      <alignment horizontal="center" vertical="center"/>
    </xf>
    <xf numFmtId="0" fontId="4" fillId="0" borderId="1" xfId="3" applyFont="1" applyBorder="1" applyAlignment="1">
      <alignment horizontal="left" vertical="center"/>
    </xf>
    <xf numFmtId="3" fontId="4" fillId="0" borderId="1" xfId="3" applyNumberFormat="1" applyFont="1" applyBorder="1" applyAlignment="1">
      <alignment horizontal="right" vertical="center"/>
    </xf>
    <xf numFmtId="0" fontId="2" fillId="0" borderId="1" xfId="3" applyFont="1" applyBorder="1" applyAlignment="1">
      <alignment horizontal="left" vertical="center"/>
    </xf>
    <xf numFmtId="0" fontId="2" fillId="0" borderId="0" xfId="3" applyAlignment="1">
      <alignment horizontal="left"/>
    </xf>
    <xf numFmtId="3" fontId="2" fillId="0" borderId="1" xfId="3" applyNumberFormat="1" applyBorder="1" applyAlignment="1">
      <alignment horizontal="right" vertical="center"/>
    </xf>
    <xf numFmtId="0" fontId="2" fillId="0" borderId="16" xfId="3" applyFont="1" applyBorder="1" applyAlignment="1">
      <alignment horizontal="left" vertical="center"/>
    </xf>
    <xf numFmtId="3" fontId="2" fillId="0" borderId="16" xfId="3" applyNumberFormat="1" applyBorder="1" applyAlignment="1">
      <alignment horizontal="right" vertical="center"/>
    </xf>
    <xf numFmtId="0" fontId="4" fillId="0" borderId="17" xfId="3" applyFont="1" applyBorder="1" applyAlignment="1">
      <alignment horizontal="left"/>
    </xf>
    <xf numFmtId="3" fontId="4" fillId="0" borderId="17" xfId="3" applyNumberFormat="1" applyFont="1" applyBorder="1" applyAlignment="1">
      <alignment horizontal="right"/>
    </xf>
    <xf numFmtId="0" fontId="4" fillId="0" borderId="0" xfId="3" applyFont="1"/>
    <xf numFmtId="0" fontId="8" fillId="0" borderId="0" xfId="0" applyFont="1" applyAlignment="1">
      <alignment wrapText="1"/>
    </xf>
    <xf numFmtId="0" fontId="0" fillId="0" borderId="0" xfId="6" applyFont="1" applyAlignment="1">
      <alignment wrapText="1"/>
    </xf>
    <xf numFmtId="0" fontId="16" fillId="0" borderId="0" xfId="0" applyFont="1" applyAlignment="1">
      <alignment wrapText="1"/>
    </xf>
    <xf numFmtId="0" fontId="17" fillId="0" borderId="0" xfId="0" applyFont="1" applyAlignment="1">
      <alignment wrapText="1"/>
    </xf>
    <xf numFmtId="3" fontId="17" fillId="0" borderId="0" xfId="6" applyNumberFormat="1" applyFont="1" applyAlignment="1">
      <alignment wrapText="1"/>
    </xf>
    <xf numFmtId="0" fontId="4" fillId="0" borderId="0" xfId="6" applyFont="1"/>
    <xf numFmtId="0" fontId="2" fillId="0" borderId="7" xfId="0" applyFont="1" applyBorder="1" applyAlignment="1">
      <alignment horizontal="left"/>
    </xf>
    <xf numFmtId="0" fontId="17" fillId="0" borderId="0" xfId="0" applyFont="1" applyAlignment="1">
      <alignment horizontal="center" wrapText="1"/>
    </xf>
    <xf numFmtId="3" fontId="2" fillId="0" borderId="0" xfId="0" applyNumberFormat="1" applyFont="1" applyBorder="1" applyAlignment="1">
      <alignment horizontal="right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left" wrapText="1"/>
    </xf>
    <xf numFmtId="3" fontId="2" fillId="0" borderId="18" xfId="0" applyNumberFormat="1" applyFont="1" applyBorder="1" applyAlignment="1">
      <alignment horizontal="center"/>
    </xf>
    <xf numFmtId="3" fontId="17" fillId="0" borderId="0" xfId="0" applyNumberFormat="1" applyFont="1" applyAlignment="1">
      <alignment wrapText="1"/>
    </xf>
    <xf numFmtId="3" fontId="8" fillId="0" borderId="0" xfId="0" applyNumberFormat="1" applyFont="1" applyAlignment="1">
      <alignment wrapText="1"/>
    </xf>
    <xf numFmtId="164" fontId="1" fillId="0" borderId="0" xfId="1" applyFill="1" applyBorder="1" applyAlignment="1" applyProtection="1"/>
    <xf numFmtId="0" fontId="4" fillId="3" borderId="19" xfId="0" applyFont="1" applyFill="1" applyBorder="1"/>
    <xf numFmtId="0" fontId="4" fillId="0" borderId="1" xfId="3" applyFont="1" applyBorder="1" applyAlignment="1">
      <alignment horizontal="left"/>
    </xf>
    <xf numFmtId="3" fontId="4" fillId="0" borderId="1" xfId="3" applyNumberFormat="1" applyFont="1" applyBorder="1" applyAlignment="1">
      <alignment horizontal="right"/>
    </xf>
    <xf numFmtId="165" fontId="1" fillId="0" borderId="0" xfId="1" applyNumberFormat="1"/>
    <xf numFmtId="3" fontId="2" fillId="0" borderId="2" xfId="0" applyNumberFormat="1" applyFont="1" applyBorder="1" applyAlignment="1">
      <alignment horizontal="center" wrapText="1"/>
    </xf>
    <xf numFmtId="3" fontId="4" fillId="3" borderId="1" xfId="0" applyNumberFormat="1" applyFont="1" applyFill="1" applyBorder="1"/>
    <xf numFmtId="3" fontId="2" fillId="0" borderId="9" xfId="0" applyNumberFormat="1" applyFont="1" applyBorder="1" applyAlignment="1">
      <alignment horizontal="center"/>
    </xf>
    <xf numFmtId="165" fontId="2" fillId="0" borderId="0" xfId="1" applyNumberFormat="1" applyFont="1" applyFill="1" applyBorder="1" applyAlignment="1" applyProtection="1">
      <alignment vertical="center"/>
    </xf>
    <xf numFmtId="0" fontId="2" fillId="0" borderId="1" xfId="0" applyFont="1" applyBorder="1" applyAlignment="1">
      <alignment horizontal="left" vertical="center"/>
    </xf>
    <xf numFmtId="3" fontId="9" fillId="0" borderId="0" xfId="0" applyNumberFormat="1" applyFont="1" applyBorder="1" applyAlignment="1">
      <alignment horizontal="center"/>
    </xf>
    <xf numFmtId="165" fontId="8" fillId="0" borderId="0" xfId="0" applyNumberFormat="1" applyFont="1"/>
    <xf numFmtId="0" fontId="8" fillId="0" borderId="0" xfId="0" applyFont="1"/>
    <xf numFmtId="0" fontId="8" fillId="0" borderId="0" xfId="0" applyFont="1" applyAlignment="1">
      <alignment horizontal="center" vertical="center"/>
    </xf>
    <xf numFmtId="3" fontId="4" fillId="0" borderId="14" xfId="0" applyNumberFormat="1" applyFont="1" applyBorder="1" applyAlignment="1">
      <alignment horizontal="center"/>
    </xf>
    <xf numFmtId="3" fontId="17" fillId="0" borderId="0" xfId="0" applyNumberFormat="1" applyFont="1" applyAlignment="1">
      <alignment horizontal="center"/>
    </xf>
    <xf numFmtId="0" fontId="17" fillId="0" borderId="0" xfId="0" applyFont="1" applyAlignment="1">
      <alignment horizontal="center" vertical="center"/>
    </xf>
    <xf numFmtId="3" fontId="4" fillId="0" borderId="14" xfId="0" applyNumberFormat="1" applyFont="1" applyBorder="1"/>
    <xf numFmtId="3" fontId="17" fillId="0" borderId="0" xfId="0" applyNumberFormat="1" applyFont="1" applyAlignment="1">
      <alignment horizontal="center" vertical="center"/>
    </xf>
    <xf numFmtId="165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right"/>
    </xf>
    <xf numFmtId="3" fontId="2" fillId="0" borderId="0" xfId="0" applyNumberFormat="1" applyFont="1" applyBorder="1"/>
    <xf numFmtId="3" fontId="2" fillId="0" borderId="14" xfId="0" applyNumberFormat="1" applyFont="1" applyBorder="1"/>
    <xf numFmtId="3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center" vertical="center"/>
    </xf>
    <xf numFmtId="0" fontId="4" fillId="0" borderId="18" xfId="0" applyFont="1" applyBorder="1"/>
    <xf numFmtId="3" fontId="4" fillId="0" borderId="0" xfId="0" applyNumberFormat="1" applyFont="1" applyAlignment="1">
      <alignment horizontal="center" vertical="center"/>
    </xf>
    <xf numFmtId="0" fontId="4" fillId="0" borderId="8" xfId="0" applyFont="1" applyFill="1" applyBorder="1" applyAlignment="1">
      <alignment horizontal="left"/>
    </xf>
    <xf numFmtId="0" fontId="4" fillId="0" borderId="8" xfId="0" applyFont="1" applyFill="1" applyBorder="1" applyAlignment="1"/>
    <xf numFmtId="0" fontId="18" fillId="0" borderId="0" xfId="7"/>
    <xf numFmtId="0" fontId="18" fillId="0" borderId="0" xfId="7" applyAlignment="1">
      <alignment horizontal="center" vertical="center"/>
    </xf>
    <xf numFmtId="0" fontId="0" fillId="0" borderId="0" xfId="7" applyFont="1"/>
    <xf numFmtId="0" fontId="0" fillId="0" borderId="0" xfId="7" applyFont="1" applyAlignment="1">
      <alignment horizontal="center" vertical="center"/>
    </xf>
    <xf numFmtId="0" fontId="8" fillId="0" borderId="0" xfId="7" applyFont="1"/>
    <xf numFmtId="0" fontId="8" fillId="0" borderId="0" xfId="7" applyFont="1" applyAlignment="1">
      <alignment horizontal="center" vertical="center"/>
    </xf>
    <xf numFmtId="0" fontId="4" fillId="0" borderId="0" xfId="7" applyFont="1"/>
    <xf numFmtId="0" fontId="4" fillId="0" borderId="0" xfId="7" applyFont="1" applyAlignment="1">
      <alignment horizontal="center" vertical="center"/>
    </xf>
    <xf numFmtId="3" fontId="4" fillId="0" borderId="10" xfId="7" applyNumberFormat="1" applyFont="1" applyBorder="1" applyAlignment="1">
      <alignment horizontal="center" vertical="center" wrapText="1"/>
    </xf>
    <xf numFmtId="4" fontId="4" fillId="3" borderId="2" xfId="7" applyNumberFormat="1" applyFont="1" applyFill="1" applyBorder="1"/>
    <xf numFmtId="3" fontId="4" fillId="3" borderId="22" xfId="7" applyNumberFormat="1" applyFont="1" applyFill="1" applyBorder="1"/>
    <xf numFmtId="165" fontId="8" fillId="0" borderId="0" xfId="8" applyNumberFormat="1" applyFont="1" applyFill="1" applyBorder="1" applyAlignment="1" applyProtection="1"/>
    <xf numFmtId="165" fontId="8" fillId="0" borderId="0" xfId="8" applyNumberFormat="1" applyFont="1" applyAlignment="1">
      <alignment horizontal="center" vertical="center"/>
    </xf>
    <xf numFmtId="165" fontId="17" fillId="0" borderId="0" xfId="8" applyNumberFormat="1" applyFont="1" applyAlignment="1">
      <alignment horizontal="center" vertical="center"/>
    </xf>
    <xf numFmtId="166" fontId="2" fillId="0" borderId="14" xfId="8" applyNumberFormat="1" applyFont="1" applyFill="1" applyBorder="1" applyAlignment="1" applyProtection="1">
      <alignment horizontal="center" vertical="center"/>
    </xf>
    <xf numFmtId="4" fontId="4" fillId="3" borderId="20" xfId="7" applyNumberFormat="1" applyFont="1" applyFill="1" applyBorder="1"/>
    <xf numFmtId="3" fontId="4" fillId="3" borderId="23" xfId="7" applyNumberFormat="1" applyFont="1" applyFill="1" applyBorder="1"/>
    <xf numFmtId="0" fontId="4" fillId="3" borderId="10" xfId="7" applyFont="1" applyFill="1" applyBorder="1"/>
    <xf numFmtId="0" fontId="4" fillId="3" borderId="11" xfId="7" applyFont="1" applyFill="1" applyBorder="1"/>
    <xf numFmtId="0" fontId="4" fillId="3" borderId="19" xfId="7" applyFont="1" applyFill="1" applyBorder="1"/>
    <xf numFmtId="3" fontId="4" fillId="3" borderId="24" xfId="7" applyNumberFormat="1" applyFont="1" applyFill="1" applyBorder="1"/>
    <xf numFmtId="0" fontId="4" fillId="0" borderId="10" xfId="7" applyFont="1" applyBorder="1"/>
    <xf numFmtId="0" fontId="4" fillId="0" borderId="11" xfId="7" applyFont="1" applyBorder="1"/>
    <xf numFmtId="0" fontId="4" fillId="0" borderId="19" xfId="7" applyFont="1" applyBorder="1"/>
    <xf numFmtId="4" fontId="4" fillId="0" borderId="19" xfId="7" applyNumberFormat="1" applyFont="1" applyBorder="1"/>
    <xf numFmtId="4" fontId="4" fillId="0" borderId="13" xfId="7" applyNumberFormat="1" applyFont="1" applyBorder="1"/>
    <xf numFmtId="3" fontId="4" fillId="0" borderId="0" xfId="7" applyNumberFormat="1" applyFont="1" applyAlignment="1">
      <alignment vertical="center"/>
    </xf>
    <xf numFmtId="3" fontId="4" fillId="0" borderId="0" xfId="7" applyNumberFormat="1" applyFont="1"/>
    <xf numFmtId="3" fontId="4" fillId="0" borderId="0" xfId="7" applyNumberFormat="1" applyFont="1" applyBorder="1"/>
    <xf numFmtId="0" fontId="2" fillId="0" borderId="0" xfId="7" applyFont="1"/>
    <xf numFmtId="0" fontId="2" fillId="0" borderId="0" xfId="7" applyFont="1" applyAlignment="1">
      <alignment horizontal="center" vertical="center"/>
    </xf>
    <xf numFmtId="3" fontId="4" fillId="3" borderId="13" xfId="7" applyNumberFormat="1" applyFont="1" applyFill="1" applyBorder="1"/>
    <xf numFmtId="4" fontId="4" fillId="0" borderId="0" xfId="7" applyNumberFormat="1" applyFont="1" applyAlignment="1">
      <alignment horizontal="right" vertical="center"/>
    </xf>
    <xf numFmtId="4" fontId="4" fillId="0" borderId="0" xfId="7" applyNumberFormat="1" applyFont="1" applyAlignment="1">
      <alignment horizontal="right"/>
    </xf>
    <xf numFmtId="0" fontId="4" fillId="0" borderId="0" xfId="7" applyFont="1" applyBorder="1"/>
    <xf numFmtId="4" fontId="4" fillId="0" borderId="0" xfId="7" applyNumberFormat="1" applyFont="1" applyBorder="1" applyAlignment="1">
      <alignment horizontal="right"/>
    </xf>
    <xf numFmtId="0" fontId="8" fillId="0" borderId="0" xfId="7" applyFont="1" applyBorder="1"/>
    <xf numFmtId="0" fontId="4" fillId="0" borderId="0" xfId="7" applyFont="1" applyBorder="1" applyAlignment="1">
      <alignment horizontal="right"/>
    </xf>
    <xf numFmtId="0" fontId="2" fillId="0" borderId="0" xfId="7" applyFont="1" applyAlignment="1">
      <alignment horizontal="right"/>
    </xf>
    <xf numFmtId="3" fontId="2" fillId="0" borderId="0" xfId="7" applyNumberFormat="1" applyFont="1"/>
    <xf numFmtId="165" fontId="1" fillId="0" borderId="0" xfId="1" applyNumberFormat="1" applyAlignment="1">
      <alignment horizontal="center"/>
    </xf>
    <xf numFmtId="165" fontId="0" fillId="0" borderId="0" xfId="4" applyNumberFormat="1" applyFont="1"/>
    <xf numFmtId="3" fontId="2" fillId="0" borderId="0" xfId="4" quotePrefix="1" applyNumberFormat="1" applyFont="1"/>
    <xf numFmtId="166" fontId="2" fillId="0" borderId="14" xfId="8" applyNumberFormat="1" applyFont="1" applyFill="1" applyBorder="1" applyAlignment="1" applyProtection="1">
      <alignment horizontal="center"/>
    </xf>
    <xf numFmtId="0" fontId="4" fillId="3" borderId="2" xfId="0" applyFont="1" applyFill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wrapText="1"/>
    </xf>
    <xf numFmtId="0" fontId="19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2" fillId="0" borderId="0" xfId="6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2" fillId="0" borderId="0" xfId="4" applyFont="1" applyBorder="1" applyAlignment="1">
      <alignment horizontal="right"/>
    </xf>
    <xf numFmtId="0" fontId="2" fillId="0" borderId="0" xfId="4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3" borderId="6" xfId="0" applyFont="1" applyFill="1" applyBorder="1" applyAlignment="1">
      <alignment wrapText="1"/>
    </xf>
    <xf numFmtId="0" fontId="4" fillId="3" borderId="2" xfId="0" applyFont="1" applyFill="1" applyBorder="1" applyAlignment="1">
      <alignment wrapText="1"/>
    </xf>
    <xf numFmtId="0" fontId="4" fillId="3" borderId="2" xfId="0" applyFont="1" applyFill="1" applyBorder="1" applyAlignment="1">
      <alignment horizontal="left"/>
    </xf>
    <xf numFmtId="0" fontId="4" fillId="3" borderId="0" xfId="0" applyFont="1" applyFill="1" applyBorder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4" applyFont="1" applyBorder="1" applyAlignment="1">
      <alignment horizontal="center" vertical="center"/>
    </xf>
    <xf numFmtId="0" fontId="2" fillId="0" borderId="0" xfId="2" applyFont="1" applyBorder="1" applyAlignment="1">
      <alignment horizontal="right"/>
    </xf>
    <xf numFmtId="0" fontId="2" fillId="0" borderId="0" xfId="2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center" wrapText="1"/>
    </xf>
    <xf numFmtId="0" fontId="2" fillId="0" borderId="0" xfId="2" applyFont="1" applyBorder="1" applyAlignment="1">
      <alignment horizontal="center"/>
    </xf>
    <xf numFmtId="0" fontId="0" fillId="0" borderId="0" xfId="0" applyAlignment="1"/>
    <xf numFmtId="0" fontId="2" fillId="0" borderId="0" xfId="0" applyFont="1" applyBorder="1" applyAlignment="1">
      <alignment horizontal="right" vertical="center"/>
    </xf>
    <xf numFmtId="0" fontId="4" fillId="0" borderId="2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horizontal="justify"/>
    </xf>
    <xf numFmtId="0" fontId="2" fillId="0" borderId="3" xfId="0" applyFont="1" applyBorder="1" applyAlignment="1">
      <alignment horizontal="center" vertical="center"/>
    </xf>
    <xf numFmtId="0" fontId="2" fillId="0" borderId="0" xfId="5" applyFont="1" applyBorder="1" applyAlignment="1">
      <alignment horizontal="right"/>
    </xf>
    <xf numFmtId="0" fontId="2" fillId="0" borderId="0" xfId="3" applyFont="1" applyBorder="1" applyAlignment="1">
      <alignment horizontal="center" vertical="center"/>
    </xf>
    <xf numFmtId="0" fontId="4" fillId="0" borderId="1" xfId="3" applyFont="1" applyBorder="1" applyAlignment="1">
      <alignment horizontal="center" vertical="center"/>
    </xf>
    <xf numFmtId="0" fontId="4" fillId="3" borderId="29" xfId="6" applyFont="1" applyFill="1" applyBorder="1" applyAlignment="1">
      <alignment horizontal="left"/>
    </xf>
    <xf numFmtId="0" fontId="4" fillId="3" borderId="20" xfId="6" applyFont="1" applyFill="1" applyBorder="1" applyAlignment="1">
      <alignment horizontal="left"/>
    </xf>
    <xf numFmtId="0" fontId="4" fillId="0" borderId="2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3" borderId="5" xfId="6" applyFont="1" applyFill="1" applyBorder="1" applyAlignment="1">
      <alignment horizontal="left"/>
    </xf>
    <xf numFmtId="0" fontId="4" fillId="3" borderId="6" xfId="6" applyFont="1" applyFill="1" applyBorder="1" applyAlignment="1">
      <alignment horizontal="left"/>
    </xf>
    <xf numFmtId="0" fontId="4" fillId="3" borderId="2" xfId="7" applyFont="1" applyFill="1" applyBorder="1" applyAlignment="1">
      <alignment horizontal="left"/>
    </xf>
    <xf numFmtId="0" fontId="4" fillId="3" borderId="20" xfId="7" applyFont="1" applyFill="1" applyBorder="1" applyAlignment="1">
      <alignment horizontal="left"/>
    </xf>
    <xf numFmtId="0" fontId="2" fillId="0" borderId="0" xfId="7" applyFont="1" applyBorder="1" applyAlignment="1">
      <alignment horizontal="right"/>
    </xf>
    <xf numFmtId="0" fontId="2" fillId="0" borderId="0" xfId="7" applyFont="1" applyBorder="1" applyAlignment="1">
      <alignment horizontal="center" vertical="center"/>
    </xf>
    <xf numFmtId="0" fontId="2" fillId="0" borderId="3" xfId="7" applyFont="1" applyBorder="1" applyAlignment="1">
      <alignment horizontal="center" vertical="center"/>
    </xf>
    <xf numFmtId="0" fontId="4" fillId="0" borderId="1" xfId="7" applyFont="1" applyBorder="1" applyAlignment="1">
      <alignment horizontal="center" vertical="center"/>
    </xf>
    <xf numFmtId="3" fontId="4" fillId="0" borderId="1" xfId="7" applyNumberFormat="1" applyFont="1" applyBorder="1" applyAlignment="1">
      <alignment horizontal="center" vertical="center" wrapText="1"/>
    </xf>
    <xf numFmtId="165" fontId="2" fillId="0" borderId="8" xfId="1" applyNumberFormat="1" applyFont="1" applyFill="1" applyBorder="1" applyAlignment="1" applyProtection="1">
      <alignment horizontal="center"/>
    </xf>
    <xf numFmtId="3" fontId="4" fillId="0" borderId="2" xfId="0" applyNumberFormat="1" applyFont="1" applyFill="1" applyBorder="1" applyAlignment="1">
      <alignment horizontal="center"/>
    </xf>
    <xf numFmtId="3" fontId="4" fillId="0" borderId="2" xfId="0" applyNumberFormat="1" applyFont="1" applyBorder="1" applyAlignment="1">
      <alignment horizontal="center"/>
    </xf>
  </cellXfs>
  <cellStyles count="9">
    <cellStyle name="Ezres" xfId="1" builtinId="3"/>
    <cellStyle name="Ezres 2" xfId="8"/>
    <cellStyle name="Normál" xfId="0" builtinId="0"/>
    <cellStyle name="Normál_2010. évi költségvetés mellékletek" xfId="2"/>
    <cellStyle name="Normál_2010. évi költségvetés mellékletek_Mkálla 3.4 éves ktgvetés mód. 2013. 2" xfId="3"/>
    <cellStyle name="Normál_Köveskál 2014. évi költségvetés" xfId="4"/>
    <cellStyle name="Normál_Mkálla 3.4 éves ktgvetés mód. 2013. 2" xfId="5"/>
    <cellStyle name="Normál_Mkálla ktgvetés 2013." xfId="6"/>
    <cellStyle name="Normál_Mkálla ktgvetés 2013. 2" xfId="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DBB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d&#337;sek%20otthona%20k&#252;l&#246;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.Idősek Otthona bevétel"/>
      <sheetName val="12.Idősek Otthona kiadás"/>
    </sheetNames>
    <sheetDataSet>
      <sheetData sheetId="0" refreshError="1"/>
      <sheetData sheetId="1">
        <row r="7">
          <cell r="G7">
            <v>63251890.700000003</v>
          </cell>
        </row>
        <row r="43">
          <cell r="G43">
            <v>1055000</v>
          </cell>
        </row>
        <row r="53">
          <cell r="G53">
            <v>36266340</v>
          </cell>
        </row>
        <row r="54">
          <cell r="G54">
            <v>5545537.7000000002</v>
          </cell>
        </row>
        <row r="55">
          <cell r="G55">
            <v>22495013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30"/>
  <sheetViews>
    <sheetView tabSelected="1" view="pageBreakPreview" zoomScale="120" zoomScaleNormal="120" zoomScaleSheetLayoutView="120" workbookViewId="0">
      <selection activeCell="C29" sqref="C29"/>
    </sheetView>
  </sheetViews>
  <sheetFormatPr defaultColWidth="9.109375" defaultRowHeight="13.2" x14ac:dyDescent="0.25"/>
  <cols>
    <col min="1" max="1" width="4.44140625" style="1" customWidth="1"/>
    <col min="2" max="2" width="66.44140625" style="1" customWidth="1"/>
    <col min="3" max="3" width="16.33203125" style="1" customWidth="1"/>
    <col min="4" max="4" width="12.88671875" style="2" customWidth="1"/>
    <col min="5" max="16384" width="9.109375" style="1"/>
  </cols>
  <sheetData>
    <row r="1" spans="1:4" ht="15.6" x14ac:dyDescent="0.3">
      <c r="A1" s="282" t="s">
        <v>304</v>
      </c>
      <c r="B1" s="282"/>
      <c r="C1" s="282"/>
    </row>
    <row r="2" spans="1:4" s="4" customFormat="1" ht="15.6" x14ac:dyDescent="0.3">
      <c r="A2" s="282"/>
      <c r="B2" s="282"/>
      <c r="C2" s="282"/>
      <c r="D2" s="3"/>
    </row>
    <row r="3" spans="1:4" s="4" customFormat="1" ht="15.6" x14ac:dyDescent="0.3">
      <c r="A3" s="5"/>
      <c r="B3" s="5"/>
      <c r="D3" s="3"/>
    </row>
    <row r="4" spans="1:4" s="4" customFormat="1" ht="24.75" customHeight="1" x14ac:dyDescent="0.3">
      <c r="A4" s="283" t="s">
        <v>0</v>
      </c>
      <c r="B4" s="283"/>
      <c r="C4" s="283"/>
      <c r="D4" s="3"/>
    </row>
    <row r="5" spans="1:4" s="4" customFormat="1" ht="26.25" customHeight="1" x14ac:dyDescent="0.3">
      <c r="A5" s="283" t="s">
        <v>305</v>
      </c>
      <c r="B5" s="283"/>
      <c r="C5" s="283"/>
      <c r="D5" s="3"/>
    </row>
    <row r="6" spans="1:4" s="7" customFormat="1" ht="19.5" customHeight="1" x14ac:dyDescent="0.3">
      <c r="A6" s="6"/>
      <c r="B6" s="6"/>
      <c r="D6" s="8"/>
    </row>
    <row r="7" spans="1:4" s="4" customFormat="1" ht="32.25" customHeight="1" x14ac:dyDescent="0.3">
      <c r="A7" s="284" t="s">
        <v>1</v>
      </c>
      <c r="B7" s="284"/>
      <c r="C7" s="9" t="s">
        <v>2</v>
      </c>
      <c r="D7" s="3"/>
    </row>
    <row r="8" spans="1:4" s="4" customFormat="1" ht="24" customHeight="1" x14ac:dyDescent="0.3">
      <c r="A8" s="284"/>
      <c r="B8" s="284"/>
      <c r="C8" s="9" t="s">
        <v>3</v>
      </c>
      <c r="D8" s="3"/>
    </row>
    <row r="9" spans="1:4" s="4" customFormat="1" ht="31.5" customHeight="1" x14ac:dyDescent="0.3">
      <c r="A9" s="10"/>
      <c r="B9" s="10" t="s">
        <v>4</v>
      </c>
      <c r="C9" s="11">
        <f>SUM(C10:C13)</f>
        <v>96037952</v>
      </c>
      <c r="D9" s="3"/>
    </row>
    <row r="10" spans="1:4" s="4" customFormat="1" ht="15.6" x14ac:dyDescent="0.3">
      <c r="A10" s="4" t="s">
        <v>5</v>
      </c>
      <c r="B10" s="12" t="s">
        <v>6</v>
      </c>
      <c r="C10" s="13">
        <f>'7.Táj.adatok műk.'!E7</f>
        <v>63440952</v>
      </c>
      <c r="D10" s="3"/>
    </row>
    <row r="11" spans="1:4" s="4" customFormat="1" ht="15.6" x14ac:dyDescent="0.3">
      <c r="A11" s="4" t="s">
        <v>7</v>
      </c>
      <c r="B11" s="12" t="s">
        <v>8</v>
      </c>
      <c r="C11" s="13">
        <f>'7.Táj.adatok műk.'!E8</f>
        <v>5900000</v>
      </c>
      <c r="D11" s="3"/>
    </row>
    <row r="12" spans="1:4" s="4" customFormat="1" ht="15.6" x14ac:dyDescent="0.3">
      <c r="A12" s="4" t="s">
        <v>9</v>
      </c>
      <c r="B12" s="12" t="s">
        <v>10</v>
      </c>
      <c r="C12" s="13">
        <f>'7.Táj.adatok műk.'!E9</f>
        <v>26642000</v>
      </c>
      <c r="D12" s="3"/>
    </row>
    <row r="13" spans="1:4" s="4" customFormat="1" ht="15.6" x14ac:dyDescent="0.3">
      <c r="A13" s="4" t="s">
        <v>11</v>
      </c>
      <c r="B13" s="12" t="s">
        <v>12</v>
      </c>
      <c r="C13" s="13">
        <f>'7.Táj.adatok műk.'!E10</f>
        <v>55000</v>
      </c>
      <c r="D13" s="3"/>
    </row>
    <row r="14" spans="1:4" s="4" customFormat="1" ht="29.25" customHeight="1" x14ac:dyDescent="0.3">
      <c r="A14" s="10"/>
      <c r="B14" s="10" t="s">
        <v>13</v>
      </c>
      <c r="C14" s="11">
        <f>SUM(C15)</f>
        <v>0</v>
      </c>
      <c r="D14" s="3"/>
    </row>
    <row r="15" spans="1:4" s="4" customFormat="1" ht="17.25" customHeight="1" x14ac:dyDescent="0.3">
      <c r="A15" s="4" t="s">
        <v>14</v>
      </c>
      <c r="B15" s="4" t="s">
        <v>15</v>
      </c>
      <c r="C15" s="13">
        <f>'8.Táj.adatok felh.'!E8</f>
        <v>0</v>
      </c>
      <c r="D15" s="3"/>
    </row>
    <row r="16" spans="1:4" s="4" customFormat="1" ht="30" customHeight="1" x14ac:dyDescent="0.3">
      <c r="A16" s="10" t="s">
        <v>16</v>
      </c>
      <c r="B16" s="14" t="s">
        <v>17</v>
      </c>
      <c r="C16" s="11">
        <f>'7.Táj.adatok műk.'!E11</f>
        <v>39924919</v>
      </c>
      <c r="D16" s="3"/>
    </row>
    <row r="17" spans="1:255" s="17" customFormat="1" ht="30" customHeight="1" x14ac:dyDescent="0.3">
      <c r="A17" s="15"/>
      <c r="B17" s="15" t="s">
        <v>18</v>
      </c>
      <c r="C17" s="16">
        <f>SUM(C9+C14+C16)</f>
        <v>135962871</v>
      </c>
      <c r="D17" s="3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</row>
    <row r="18" spans="1:255" s="21" customFormat="1" ht="30" customHeight="1" x14ac:dyDescent="0.3">
      <c r="A18" s="18"/>
      <c r="B18" s="18" t="s">
        <v>19</v>
      </c>
      <c r="C18" s="19">
        <f>SUM(C19:C23)</f>
        <v>110009954.7</v>
      </c>
      <c r="D18" s="20"/>
    </row>
    <row r="19" spans="1:255" ht="15.6" x14ac:dyDescent="0.3">
      <c r="A19" s="4" t="s">
        <v>20</v>
      </c>
      <c r="B19" s="22" t="s">
        <v>21</v>
      </c>
      <c r="C19" s="13">
        <f>'7.Táj.adatok műk.'!E14</f>
        <v>50755984</v>
      </c>
      <c r="D19" s="23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</row>
    <row r="20" spans="1:255" ht="15.6" x14ac:dyDescent="0.3">
      <c r="A20" s="4" t="s">
        <v>22</v>
      </c>
      <c r="B20" s="4" t="s">
        <v>23</v>
      </c>
      <c r="C20" s="13">
        <f>'7.Táj.adatok műk.'!E15</f>
        <v>7559359.7000000002</v>
      </c>
      <c r="D20" s="23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</row>
    <row r="21" spans="1:255" ht="15.6" x14ac:dyDescent="0.3">
      <c r="A21" s="4" t="s">
        <v>24</v>
      </c>
      <c r="B21" s="12" t="s">
        <v>25</v>
      </c>
      <c r="C21" s="13">
        <f>'7.Táj.adatok műk.'!E16</f>
        <v>35864013</v>
      </c>
      <c r="D21" s="23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</row>
    <row r="22" spans="1:255" ht="15.6" x14ac:dyDescent="0.3">
      <c r="A22" s="4" t="s">
        <v>26</v>
      </c>
      <c r="B22" s="22" t="s">
        <v>27</v>
      </c>
      <c r="C22" s="13">
        <f>'7.Táj.adatok műk.'!E17</f>
        <v>2358000</v>
      </c>
      <c r="D22" s="23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</row>
    <row r="23" spans="1:255" ht="15.6" x14ac:dyDescent="0.3">
      <c r="A23" s="4" t="s">
        <v>28</v>
      </c>
      <c r="B23" s="22" t="s">
        <v>29</v>
      </c>
      <c r="C23" s="13">
        <f>'7.Táj.adatok műk.'!E18</f>
        <v>13472598</v>
      </c>
      <c r="D23" s="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</row>
    <row r="24" spans="1:255" s="21" customFormat="1" ht="28.5" customHeight="1" x14ac:dyDescent="0.3">
      <c r="A24" s="10"/>
      <c r="B24" s="10" t="s">
        <v>30</v>
      </c>
      <c r="C24" s="11">
        <f>SUM(C25:C26)</f>
        <v>22392916.100000001</v>
      </c>
      <c r="D24" s="20"/>
    </row>
    <row r="25" spans="1:255" ht="17.25" customHeight="1" x14ac:dyDescent="0.3">
      <c r="A25" s="4" t="s">
        <v>31</v>
      </c>
      <c r="B25" s="4" t="s">
        <v>32</v>
      </c>
      <c r="C25" s="13">
        <f>'8.Táj.adatok felh.'!E13</f>
        <v>3756000</v>
      </c>
      <c r="D25" s="23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</row>
    <row r="26" spans="1:255" ht="15.6" x14ac:dyDescent="0.3">
      <c r="A26" s="4" t="s">
        <v>33</v>
      </c>
      <c r="B26" s="22" t="s">
        <v>34</v>
      </c>
      <c r="C26" s="13">
        <f>'8.Táj.adatok felh.'!E14</f>
        <v>18636916.100000001</v>
      </c>
      <c r="D26" s="23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</row>
    <row r="27" spans="1:255" s="21" customFormat="1" ht="27.75" customHeight="1" x14ac:dyDescent="0.3">
      <c r="A27" s="10" t="s">
        <v>35</v>
      </c>
      <c r="B27" s="24" t="s">
        <v>36</v>
      </c>
      <c r="C27" s="11">
        <f>'7.Táj.adatok műk.'!E19</f>
        <v>3560000</v>
      </c>
      <c r="D27" s="20"/>
    </row>
    <row r="28" spans="1:255" s="21" customFormat="1" ht="30" customHeight="1" x14ac:dyDescent="0.3">
      <c r="A28" s="25"/>
      <c r="B28" s="26" t="s">
        <v>37</v>
      </c>
      <c r="C28" s="16">
        <f>SUM(C18+C24+C27)</f>
        <v>135962870.80000001</v>
      </c>
      <c r="D28" s="20"/>
    </row>
    <row r="29" spans="1:255" ht="15.6" x14ac:dyDescent="0.25">
      <c r="A29"/>
      <c r="B29"/>
      <c r="C29" s="216"/>
      <c r="D29" s="23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</row>
    <row r="30" spans="1:255" x14ac:dyDescent="0.25">
      <c r="C30" s="27"/>
    </row>
  </sheetData>
  <sheetProtection selectLockedCells="1" selectUnlockedCells="1"/>
  <mergeCells count="5">
    <mergeCell ref="A1:C1"/>
    <mergeCell ref="A2:C2"/>
    <mergeCell ref="A4:C4"/>
    <mergeCell ref="A5:C5"/>
    <mergeCell ref="A7:B8"/>
  </mergeCells>
  <printOptions headings="1" gridLines="1"/>
  <pageMargins left="0.74791666666666667" right="0.74791666666666667" top="0.98402777777777772" bottom="0.98402777777777772" header="0.51180555555555551" footer="0.51180555555555551"/>
  <pageSetup paperSize="9" scale="95" firstPageNumber="0" orientation="portrait" horizontalDpi="300" verticalDpi="300" r:id="rId1"/>
  <headerFooter alignWithMargins="0"/>
  <colBreaks count="1" manualBreakCount="1">
    <brk id="3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view="pageBreakPreview" topLeftCell="A4" zoomScale="120" zoomScaleNormal="120" zoomScaleSheetLayoutView="120" workbookViewId="0">
      <selection activeCell="C9" sqref="C9"/>
    </sheetView>
  </sheetViews>
  <sheetFormatPr defaultColWidth="9.109375" defaultRowHeight="13.2" x14ac:dyDescent="0.25"/>
  <cols>
    <col min="1" max="1" width="64" style="176" customWidth="1"/>
    <col min="2" max="2" width="21.88671875" style="176" customWidth="1"/>
    <col min="3" max="16384" width="9.109375" style="176"/>
  </cols>
  <sheetData>
    <row r="1" spans="1:2" ht="15.6" x14ac:dyDescent="0.3">
      <c r="A1" s="311" t="s">
        <v>318</v>
      </c>
      <c r="B1" s="311"/>
    </row>
    <row r="2" spans="1:2" ht="15.6" x14ac:dyDescent="0.3">
      <c r="A2" s="311"/>
      <c r="B2" s="311"/>
    </row>
    <row r="3" spans="1:2" ht="15.6" x14ac:dyDescent="0.3">
      <c r="A3" s="178"/>
      <c r="B3" s="179"/>
    </row>
    <row r="4" spans="1:2" s="180" customFormat="1" ht="21" customHeight="1" x14ac:dyDescent="0.3">
      <c r="A4" s="312" t="s">
        <v>0</v>
      </c>
      <c r="B4" s="312"/>
    </row>
    <row r="5" spans="1:2" s="180" customFormat="1" ht="23.25" customHeight="1" x14ac:dyDescent="0.3">
      <c r="A5" s="312" t="s">
        <v>319</v>
      </c>
      <c r="B5" s="312"/>
    </row>
    <row r="6" spans="1:2" s="180" customFormat="1" ht="23.25" customHeight="1" x14ac:dyDescent="0.3">
      <c r="A6" s="181"/>
      <c r="B6" s="181"/>
    </row>
    <row r="7" spans="1:2" s="180" customFormat="1" ht="15.75" customHeight="1" x14ac:dyDescent="0.3">
      <c r="A7" s="313" t="s">
        <v>262</v>
      </c>
      <c r="B7" s="182" t="s">
        <v>124</v>
      </c>
    </row>
    <row r="8" spans="1:2" s="180" customFormat="1" ht="39" customHeight="1" x14ac:dyDescent="0.3">
      <c r="A8" s="313"/>
      <c r="B8" s="183" t="s">
        <v>125</v>
      </c>
    </row>
    <row r="9" spans="1:2" s="187" customFormat="1" ht="23.25" customHeight="1" x14ac:dyDescent="0.3">
      <c r="A9" s="184" t="s">
        <v>225</v>
      </c>
      <c r="B9" s="185">
        <f>SUM(B10)</f>
        <v>3556000</v>
      </c>
    </row>
    <row r="10" spans="1:2" s="187" customFormat="1" ht="23.25" customHeight="1" x14ac:dyDescent="0.3">
      <c r="A10" s="186" t="s">
        <v>328</v>
      </c>
      <c r="B10" s="188">
        <f>'5.kiadás'!H77</f>
        <v>3556000</v>
      </c>
    </row>
    <row r="11" spans="1:2" s="187" customFormat="1" ht="23.25" customHeight="1" x14ac:dyDescent="0.3">
      <c r="A11" s="184" t="s">
        <v>300</v>
      </c>
      <c r="B11" s="185">
        <f>B12</f>
        <v>200000</v>
      </c>
    </row>
    <row r="12" spans="1:2" s="187" customFormat="1" ht="23.25" customHeight="1" x14ac:dyDescent="0.3">
      <c r="A12" s="189" t="s">
        <v>329</v>
      </c>
      <c r="B12" s="190">
        <v>200000</v>
      </c>
    </row>
    <row r="13" spans="1:2" s="193" customFormat="1" ht="26.25" customHeight="1" x14ac:dyDescent="0.3">
      <c r="A13" s="191" t="s">
        <v>288</v>
      </c>
      <c r="B13" s="192">
        <f>SUM(B9,B11)</f>
        <v>3756000</v>
      </c>
    </row>
  </sheetData>
  <sheetProtection selectLockedCells="1" selectUnlockedCells="1"/>
  <mergeCells count="5">
    <mergeCell ref="A1:B1"/>
    <mergeCell ref="A2:B2"/>
    <mergeCell ref="A4:B4"/>
    <mergeCell ref="A5:B5"/>
    <mergeCell ref="A7:A8"/>
  </mergeCells>
  <printOptions headings="1" gridLines="1"/>
  <pageMargins left="0.75" right="0.75" top="1" bottom="1" header="0.51180555555555551" footer="0.51180555555555551"/>
  <pageSetup paperSize="9" scale="90" firstPageNumber="0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topLeftCell="A25" zoomScale="120" zoomScaleNormal="120" zoomScaleSheetLayoutView="120" workbookViewId="0">
      <selection activeCell="E31" sqref="E31"/>
    </sheetView>
  </sheetViews>
  <sheetFormatPr defaultColWidth="9.109375" defaultRowHeight="15.6" x14ac:dyDescent="0.3"/>
  <cols>
    <col min="1" max="1" width="4" style="4" customWidth="1"/>
    <col min="2" max="2" width="5.109375" style="4" customWidth="1"/>
    <col min="3" max="3" width="6.44140625" style="4" customWidth="1"/>
    <col min="4" max="4" width="2.5546875" style="4" customWidth="1"/>
    <col min="5" max="5" width="62.109375" style="4" customWidth="1"/>
    <col min="6" max="6" width="17.88671875" style="4" customWidth="1"/>
    <col min="7" max="7" width="16.6640625" style="194" customWidth="1"/>
    <col min="8" max="8" width="11.5546875" style="4" customWidth="1"/>
    <col min="9" max="9" width="12" style="4" customWidth="1"/>
    <col min="10" max="10" width="9.109375" style="29" customWidth="1"/>
    <col min="11" max="16384" width="9.109375" style="4"/>
  </cols>
  <sheetData>
    <row r="1" spans="1:11" x14ac:dyDescent="0.3">
      <c r="A1" s="288" t="s">
        <v>320</v>
      </c>
      <c r="B1" s="288"/>
      <c r="C1" s="288"/>
      <c r="D1" s="288"/>
      <c r="E1" s="288"/>
      <c r="F1" s="288"/>
    </row>
    <row r="2" spans="1:11" s="28" customFormat="1" ht="22.8" customHeight="1" x14ac:dyDescent="0.3">
      <c r="A2" s="288"/>
      <c r="B2" s="288"/>
      <c r="C2" s="288"/>
      <c r="D2" s="288"/>
      <c r="E2" s="288"/>
      <c r="F2" s="288"/>
      <c r="G2" s="195"/>
    </row>
    <row r="3" spans="1:11" ht="19.8" customHeight="1" x14ac:dyDescent="0.3">
      <c r="A3" s="283" t="s">
        <v>289</v>
      </c>
      <c r="B3" s="283"/>
      <c r="C3" s="283"/>
      <c r="D3" s="283"/>
      <c r="E3" s="283"/>
      <c r="F3" s="283"/>
      <c r="H3" s="29"/>
      <c r="J3" s="4"/>
    </row>
    <row r="4" spans="1:11" ht="25.8" customHeight="1" x14ac:dyDescent="0.3">
      <c r="A4" s="283" t="s">
        <v>321</v>
      </c>
      <c r="B4" s="283"/>
      <c r="C4" s="283"/>
      <c r="D4" s="283"/>
      <c r="E4" s="283"/>
      <c r="F4" s="283"/>
      <c r="H4" s="29"/>
      <c r="J4" s="4"/>
    </row>
    <row r="5" spans="1:11" s="7" customFormat="1" ht="22.8" customHeight="1" x14ac:dyDescent="0.3">
      <c r="A5" s="6"/>
      <c r="B5" s="6"/>
      <c r="C5" s="6"/>
      <c r="D5" s="6"/>
      <c r="E5" s="6"/>
      <c r="F5" s="103"/>
      <c r="G5" s="196"/>
      <c r="H5" s="67"/>
    </row>
    <row r="6" spans="1:11" ht="26.25" customHeight="1" x14ac:dyDescent="0.3">
      <c r="A6" s="316" t="s">
        <v>38</v>
      </c>
      <c r="B6" s="317"/>
      <c r="C6" s="317"/>
      <c r="D6" s="317"/>
      <c r="E6" s="318"/>
      <c r="F6" s="31" t="s">
        <v>124</v>
      </c>
      <c r="H6" s="29"/>
      <c r="J6" s="4"/>
    </row>
    <row r="7" spans="1:11" s="10" customFormat="1" x14ac:dyDescent="0.3">
      <c r="A7" s="319"/>
      <c r="B7" s="320"/>
      <c r="C7" s="320"/>
      <c r="D7" s="320"/>
      <c r="E7" s="321"/>
      <c r="F7" s="31" t="s">
        <v>3</v>
      </c>
      <c r="G7" s="197"/>
    </row>
    <row r="8" spans="1:11" s="199" customFormat="1" ht="30" customHeight="1" x14ac:dyDescent="0.3">
      <c r="A8" s="322" t="s">
        <v>290</v>
      </c>
      <c r="B8" s="322"/>
      <c r="C8" s="322"/>
      <c r="D8" s="322"/>
      <c r="E8" s="323"/>
      <c r="F8" s="124">
        <f>SUM(F9,F13,F17)</f>
        <v>25631000</v>
      </c>
      <c r="G8" s="198"/>
    </row>
    <row r="9" spans="1:11" s="199" customFormat="1" x14ac:dyDescent="0.3">
      <c r="A9" s="14" t="s">
        <v>5</v>
      </c>
      <c r="B9" s="10" t="s">
        <v>6</v>
      </c>
      <c r="C9" s="10"/>
      <c r="D9" s="200"/>
      <c r="E9" s="110"/>
      <c r="F9" s="107">
        <f>SUM(F10)</f>
        <v>0</v>
      </c>
      <c r="G9" s="198"/>
    </row>
    <row r="10" spans="1:11" s="10" customFormat="1" x14ac:dyDescent="0.3">
      <c r="A10" s="14"/>
      <c r="B10" s="12" t="s">
        <v>103</v>
      </c>
      <c r="C10" s="4" t="s">
        <v>104</v>
      </c>
      <c r="E10" s="111"/>
      <c r="F10" s="110">
        <f>F11</f>
        <v>0</v>
      </c>
      <c r="G10" s="201"/>
      <c r="H10" s="40"/>
      <c r="I10" s="40"/>
      <c r="J10" s="41"/>
    </row>
    <row r="11" spans="1:11" s="10" customFormat="1" x14ac:dyDescent="0.3">
      <c r="A11" s="14"/>
      <c r="B11" s="12"/>
      <c r="C11" s="4" t="s">
        <v>291</v>
      </c>
      <c r="D11" s="4" t="s">
        <v>292</v>
      </c>
      <c r="E11" s="111"/>
      <c r="F11" s="202">
        <v>0</v>
      </c>
      <c r="G11" s="201"/>
      <c r="H11" s="40"/>
      <c r="I11" s="40"/>
      <c r="J11" s="41"/>
    </row>
    <row r="12" spans="1:11" s="10" customFormat="1" x14ac:dyDescent="0.3">
      <c r="A12" s="14"/>
      <c r="B12" s="12" t="s">
        <v>103</v>
      </c>
      <c r="C12" s="4" t="s">
        <v>293</v>
      </c>
      <c r="E12" s="111"/>
      <c r="F12" s="44">
        <v>0</v>
      </c>
      <c r="G12" s="201"/>
      <c r="H12" s="40"/>
      <c r="I12" s="40"/>
      <c r="J12" s="41"/>
    </row>
    <row r="13" spans="1:11" x14ac:dyDescent="0.3">
      <c r="A13" s="10" t="s">
        <v>9</v>
      </c>
      <c r="B13" s="10" t="s">
        <v>10</v>
      </c>
      <c r="C13" s="10"/>
      <c r="D13" s="10"/>
      <c r="E13" s="111"/>
      <c r="F13" s="11">
        <f>SUM(F14:F16)</f>
        <v>25631000</v>
      </c>
      <c r="H13" s="38"/>
      <c r="I13" s="38"/>
      <c r="J13" s="38"/>
      <c r="K13" s="29"/>
    </row>
    <row r="14" spans="1:11" s="10" customFormat="1" x14ac:dyDescent="0.3">
      <c r="A14" s="4"/>
      <c r="B14" s="4"/>
      <c r="C14" s="4" t="s">
        <v>294</v>
      </c>
      <c r="D14" s="4" t="s">
        <v>295</v>
      </c>
      <c r="E14" s="113"/>
      <c r="F14" s="109">
        <v>25630000</v>
      </c>
      <c r="G14" s="201"/>
      <c r="H14" s="40"/>
      <c r="I14" s="40"/>
      <c r="J14" s="41"/>
    </row>
    <row r="15" spans="1:11" x14ac:dyDescent="0.3">
      <c r="C15" s="4" t="s">
        <v>44</v>
      </c>
      <c r="D15" s="4" t="s">
        <v>45</v>
      </c>
      <c r="E15" s="113"/>
      <c r="F15" s="109">
        <v>1000</v>
      </c>
      <c r="G15" s="203"/>
      <c r="H15" s="38"/>
      <c r="I15" s="38"/>
    </row>
    <row r="16" spans="1:11" ht="15.75" customHeight="1" x14ac:dyDescent="0.3">
      <c r="C16" s="4" t="s">
        <v>117</v>
      </c>
      <c r="D16" s="4" t="s">
        <v>296</v>
      </c>
      <c r="E16" s="113"/>
      <c r="F16" s="109">
        <v>0</v>
      </c>
      <c r="G16" s="204"/>
      <c r="H16" s="38"/>
      <c r="I16" s="38"/>
    </row>
    <row r="17" spans="1:10" x14ac:dyDescent="0.3">
      <c r="A17" s="10" t="s">
        <v>16</v>
      </c>
      <c r="B17" s="10" t="s">
        <v>17</v>
      </c>
      <c r="C17" s="10"/>
      <c r="D17" s="10"/>
      <c r="E17" s="111"/>
      <c r="F17" s="11">
        <f>SUM(F18)</f>
        <v>0</v>
      </c>
      <c r="G17" s="204"/>
      <c r="H17" s="38"/>
      <c r="I17" s="38"/>
    </row>
    <row r="18" spans="1:10" x14ac:dyDescent="0.3">
      <c r="B18" s="4" t="s">
        <v>51</v>
      </c>
      <c r="D18" s="4" t="s">
        <v>52</v>
      </c>
      <c r="E18" s="113"/>
      <c r="F18" s="13">
        <f>SUM(F21+F19)</f>
        <v>0</v>
      </c>
      <c r="G18" s="203"/>
      <c r="H18" s="38"/>
      <c r="I18" s="38"/>
    </row>
    <row r="19" spans="1:10" x14ac:dyDescent="0.3">
      <c r="C19" s="4" t="s">
        <v>53</v>
      </c>
      <c r="D19" s="4" t="s">
        <v>54</v>
      </c>
      <c r="E19" s="113"/>
      <c r="F19" s="109">
        <v>0</v>
      </c>
      <c r="G19" s="203"/>
      <c r="H19" s="38"/>
      <c r="I19" s="38"/>
    </row>
    <row r="20" spans="1:10" s="199" customFormat="1" x14ac:dyDescent="0.3">
      <c r="A20" s="4"/>
      <c r="B20" s="4"/>
      <c r="C20" s="4" t="s">
        <v>55</v>
      </c>
      <c r="D20" s="4"/>
      <c r="E20" s="113" t="s">
        <v>56</v>
      </c>
      <c r="F20" s="109">
        <v>0</v>
      </c>
      <c r="G20" s="198"/>
    </row>
    <row r="21" spans="1:10" s="10" customFormat="1" x14ac:dyDescent="0.3">
      <c r="A21" s="4"/>
      <c r="B21" s="4"/>
      <c r="C21" s="4" t="s">
        <v>297</v>
      </c>
      <c r="D21" s="4" t="s">
        <v>298</v>
      </c>
      <c r="E21" s="113"/>
      <c r="F21" s="205">
        <v>0</v>
      </c>
      <c r="G21" s="206"/>
    </row>
    <row r="22" spans="1:10" ht="30" customHeight="1" x14ac:dyDescent="0.3">
      <c r="A22" s="314" t="s">
        <v>299</v>
      </c>
      <c r="B22" s="314"/>
      <c r="C22" s="314"/>
      <c r="D22" s="314"/>
      <c r="E22" s="315"/>
      <c r="F22" s="118">
        <f>F23</f>
        <v>670570</v>
      </c>
      <c r="G22" s="207"/>
      <c r="J22" s="4"/>
    </row>
    <row r="23" spans="1:10" s="10" customFormat="1" x14ac:dyDescent="0.3">
      <c r="A23" s="14" t="s">
        <v>5</v>
      </c>
      <c r="B23" s="10" t="s">
        <v>6</v>
      </c>
      <c r="D23" s="200"/>
      <c r="E23" s="110"/>
      <c r="F23" s="107">
        <f>SUM(F24)</f>
        <v>670570</v>
      </c>
      <c r="G23" s="197"/>
      <c r="J23" s="41"/>
    </row>
    <row r="24" spans="1:10" x14ac:dyDescent="0.3">
      <c r="A24" s="14"/>
      <c r="B24" s="12" t="s">
        <v>103</v>
      </c>
      <c r="C24" s="4" t="s">
        <v>104</v>
      </c>
      <c r="D24" s="10"/>
      <c r="E24" s="111"/>
      <c r="F24" s="109">
        <v>670570</v>
      </c>
    </row>
    <row r="25" spans="1:10" ht="30" customHeight="1" x14ac:dyDescent="0.3">
      <c r="A25" s="285" t="s">
        <v>50</v>
      </c>
      <c r="B25" s="285"/>
      <c r="C25" s="285"/>
      <c r="D25" s="285"/>
      <c r="E25" s="285"/>
      <c r="F25" s="37">
        <f>SUM(F26)</f>
        <v>38005321</v>
      </c>
    </row>
    <row r="26" spans="1:10" x14ac:dyDescent="0.3">
      <c r="A26" s="10" t="s">
        <v>16</v>
      </c>
      <c r="B26" s="10" t="s">
        <v>17</v>
      </c>
      <c r="C26" s="10"/>
      <c r="D26" s="10"/>
      <c r="E26" s="111"/>
      <c r="F26" s="11">
        <f>SUM(F27)</f>
        <v>38005321</v>
      </c>
    </row>
    <row r="27" spans="1:10" x14ac:dyDescent="0.3">
      <c r="B27" s="4" t="s">
        <v>51</v>
      </c>
      <c r="D27" s="4" t="s">
        <v>52</v>
      </c>
      <c r="E27" s="113"/>
      <c r="F27" s="13">
        <f>SUM(F30+F28)</f>
        <v>38005321</v>
      </c>
    </row>
    <row r="28" spans="1:10" s="51" customFormat="1" x14ac:dyDescent="0.3">
      <c r="A28" s="4"/>
      <c r="B28" s="4"/>
      <c r="C28" s="4" t="s">
        <v>53</v>
      </c>
      <c r="D28" s="4" t="s">
        <v>54</v>
      </c>
      <c r="E28" s="113"/>
      <c r="F28" s="109">
        <f>F29</f>
        <v>2849744</v>
      </c>
      <c r="I28" s="52"/>
    </row>
    <row r="29" spans="1:10" s="51" customFormat="1" x14ac:dyDescent="0.3">
      <c r="A29" s="4"/>
      <c r="B29" s="4"/>
      <c r="C29" s="4" t="s">
        <v>55</v>
      </c>
      <c r="D29" s="4"/>
      <c r="E29" s="113" t="s">
        <v>56</v>
      </c>
      <c r="F29" s="109">
        <v>2849744</v>
      </c>
      <c r="I29" s="52"/>
    </row>
    <row r="30" spans="1:10" s="51" customFormat="1" x14ac:dyDescent="0.3">
      <c r="A30" s="4"/>
      <c r="B30" s="4"/>
      <c r="C30" s="4" t="s">
        <v>297</v>
      </c>
      <c r="D30" s="4" t="s">
        <v>298</v>
      </c>
      <c r="E30" s="113"/>
      <c r="F30" s="205">
        <f>'5.kiadás'!H51</f>
        <v>35155577</v>
      </c>
      <c r="G30" s="208"/>
      <c r="I30" s="52"/>
    </row>
    <row r="31" spans="1:10" ht="21" customHeight="1" x14ac:dyDescent="0.3">
      <c r="A31" s="62" t="s">
        <v>121</v>
      </c>
      <c r="B31" s="63"/>
      <c r="C31" s="63"/>
      <c r="D31" s="63"/>
      <c r="E31" s="209"/>
      <c r="F31" s="81">
        <f>SUM(F8+F22+F25)</f>
        <v>64306891</v>
      </c>
    </row>
    <row r="32" spans="1:10" x14ac:dyDescent="0.3">
      <c r="A32" s="53" t="s">
        <v>5</v>
      </c>
      <c r="B32" s="54" t="s">
        <v>6</v>
      </c>
      <c r="C32" s="53"/>
      <c r="D32" s="55"/>
      <c r="E32" s="56"/>
      <c r="F32" s="57">
        <f>F9+F23</f>
        <v>670570</v>
      </c>
    </row>
    <row r="33" spans="1:6" x14ac:dyDescent="0.3">
      <c r="A33" s="54" t="s">
        <v>9</v>
      </c>
      <c r="B33" s="58" t="s">
        <v>10</v>
      </c>
      <c r="C33" s="58"/>
      <c r="D33" s="58"/>
      <c r="E33" s="58"/>
      <c r="F33" s="57">
        <f>F13</f>
        <v>25631000</v>
      </c>
    </row>
    <row r="34" spans="1:6" x14ac:dyDescent="0.3">
      <c r="A34" s="54" t="s">
        <v>16</v>
      </c>
      <c r="B34" s="54" t="s">
        <v>17</v>
      </c>
      <c r="C34" s="54"/>
      <c r="D34" s="54"/>
      <c r="E34" s="53"/>
      <c r="F34" s="61">
        <f>F26</f>
        <v>38005321</v>
      </c>
    </row>
    <row r="35" spans="1:6" ht="21" customHeight="1" x14ac:dyDescent="0.3">
      <c r="A35" s="62" t="s">
        <v>121</v>
      </c>
      <c r="B35" s="63"/>
      <c r="C35" s="63"/>
      <c r="D35" s="63"/>
      <c r="E35" s="63"/>
      <c r="F35" s="64">
        <f>SUM(F32:F34)</f>
        <v>64306891</v>
      </c>
    </row>
    <row r="36" spans="1:6" x14ac:dyDescent="0.3">
      <c r="F36" s="212"/>
    </row>
    <row r="37" spans="1:6" x14ac:dyDescent="0.3">
      <c r="E37" s="5"/>
    </row>
    <row r="38" spans="1:6" x14ac:dyDescent="0.3">
      <c r="E38" s="5"/>
    </row>
  </sheetData>
  <sheetProtection selectLockedCells="1" selectUnlockedCells="1"/>
  <mergeCells count="8">
    <mergeCell ref="A22:E22"/>
    <mergeCell ref="A25:E25"/>
    <mergeCell ref="A1:F1"/>
    <mergeCell ref="A2:F2"/>
    <mergeCell ref="A3:F3"/>
    <mergeCell ref="A4:F4"/>
    <mergeCell ref="A6:E7"/>
    <mergeCell ref="A8:E8"/>
  </mergeCells>
  <printOptions headings="1" gridLines="1"/>
  <pageMargins left="0.75" right="0.75" top="1" bottom="1" header="0.51180555555555551" footer="0.51180555555555551"/>
  <pageSetup paperSize="9" scale="85" firstPageNumber="0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6"/>
  <sheetViews>
    <sheetView view="pageBreakPreview" topLeftCell="A43" zoomScale="120" zoomScaleNormal="120" zoomScaleSheetLayoutView="120" workbookViewId="0">
      <selection activeCell="G58" sqref="G58:G59"/>
    </sheetView>
  </sheetViews>
  <sheetFormatPr defaultColWidth="9.109375" defaultRowHeight="13.2" x14ac:dyDescent="0.25"/>
  <cols>
    <col min="1" max="1" width="4.33203125" style="237" customWidth="1"/>
    <col min="2" max="2" width="5.44140625" style="237" customWidth="1"/>
    <col min="3" max="3" width="8.109375" style="237" customWidth="1"/>
    <col min="4" max="4" width="3.33203125" style="237" customWidth="1"/>
    <col min="5" max="5" width="52.44140625" style="237" customWidth="1"/>
    <col min="6" max="6" width="9.5546875" style="237" customWidth="1"/>
    <col min="7" max="7" width="20.109375" style="239" customWidth="1"/>
    <col min="8" max="8" width="15" style="237" customWidth="1"/>
    <col min="9" max="9" width="15.5546875" style="238" customWidth="1"/>
    <col min="10" max="16384" width="9.109375" style="237"/>
  </cols>
  <sheetData>
    <row r="1" spans="1:9" ht="15.6" x14ac:dyDescent="0.3">
      <c r="A1" s="326" t="s">
        <v>331</v>
      </c>
      <c r="B1" s="326"/>
      <c r="C1" s="326"/>
      <c r="D1" s="326"/>
      <c r="E1" s="326"/>
      <c r="F1" s="326"/>
      <c r="G1" s="326"/>
    </row>
    <row r="2" spans="1:9" s="239" customFormat="1" ht="16.5" customHeight="1" x14ac:dyDescent="0.3">
      <c r="A2" s="326"/>
      <c r="B2" s="326"/>
      <c r="C2" s="326"/>
      <c r="D2" s="326"/>
      <c r="E2" s="326"/>
      <c r="F2" s="326"/>
      <c r="G2" s="326"/>
      <c r="I2" s="240"/>
    </row>
    <row r="3" spans="1:9" s="241" customFormat="1" ht="26.25" customHeight="1" x14ac:dyDescent="0.25">
      <c r="A3" s="327" t="s">
        <v>289</v>
      </c>
      <c r="B3" s="327"/>
      <c r="C3" s="327"/>
      <c r="D3" s="327"/>
      <c r="E3" s="327"/>
      <c r="F3" s="327"/>
      <c r="G3" s="327"/>
      <c r="I3" s="242"/>
    </row>
    <row r="4" spans="1:9" s="243" customFormat="1" ht="19.8" customHeight="1" x14ac:dyDescent="0.3">
      <c r="A4" s="328" t="s">
        <v>332</v>
      </c>
      <c r="B4" s="328"/>
      <c r="C4" s="328"/>
      <c r="D4" s="328"/>
      <c r="E4" s="328"/>
      <c r="F4" s="328"/>
      <c r="G4" s="328"/>
      <c r="I4" s="244"/>
    </row>
    <row r="5" spans="1:9" s="243" customFormat="1" ht="25.8" customHeight="1" x14ac:dyDescent="0.3">
      <c r="A5" s="329" t="s">
        <v>38</v>
      </c>
      <c r="B5" s="329"/>
      <c r="C5" s="329"/>
      <c r="D5" s="329"/>
      <c r="E5" s="329"/>
      <c r="F5" s="330" t="s">
        <v>333</v>
      </c>
      <c r="G5" s="245" t="s">
        <v>124</v>
      </c>
      <c r="I5" s="244"/>
    </row>
    <row r="6" spans="1:9" s="243" customFormat="1" ht="22.8" customHeight="1" x14ac:dyDescent="0.3">
      <c r="A6" s="329"/>
      <c r="B6" s="329"/>
      <c r="C6" s="329"/>
      <c r="D6" s="329"/>
      <c r="E6" s="329"/>
      <c r="F6" s="330"/>
      <c r="G6" s="245" t="s">
        <v>3</v>
      </c>
      <c r="I6" s="244"/>
    </row>
    <row r="7" spans="1:9" s="243" customFormat="1" ht="29.4" customHeight="1" x14ac:dyDescent="0.3">
      <c r="A7" s="324" t="s">
        <v>290</v>
      </c>
      <c r="B7" s="324"/>
      <c r="C7" s="324"/>
      <c r="D7" s="324"/>
      <c r="E7" s="324"/>
      <c r="F7" s="246">
        <v>8</v>
      </c>
      <c r="G7" s="247">
        <f>SUM(G8+G17+G20+G40)</f>
        <v>63251890.700000003</v>
      </c>
      <c r="I7" s="244"/>
    </row>
    <row r="8" spans="1:9" s="10" customFormat="1" ht="15.6" x14ac:dyDescent="0.3">
      <c r="A8" s="10" t="s">
        <v>20</v>
      </c>
      <c r="B8" s="14" t="s">
        <v>142</v>
      </c>
      <c r="C8" s="14"/>
      <c r="D8" s="14"/>
      <c r="E8" s="106"/>
      <c r="F8" s="106"/>
      <c r="G8" s="132">
        <f>SUM(G9)</f>
        <v>35287340</v>
      </c>
      <c r="H8" s="248"/>
      <c r="I8" s="249"/>
    </row>
    <row r="9" spans="1:9" s="4" customFormat="1" ht="15.6" x14ac:dyDescent="0.3">
      <c r="B9" s="12" t="s">
        <v>143</v>
      </c>
      <c r="C9" s="12"/>
      <c r="D9" s="12" t="s">
        <v>144</v>
      </c>
      <c r="E9" s="108"/>
      <c r="F9" s="108"/>
      <c r="G9" s="127">
        <f>SUM(G10:G16)</f>
        <v>35287340</v>
      </c>
      <c r="H9" s="248"/>
      <c r="I9" s="249"/>
    </row>
    <row r="10" spans="1:9" s="4" customFormat="1" ht="15.6" x14ac:dyDescent="0.3">
      <c r="B10" s="12"/>
      <c r="C10" s="12" t="s">
        <v>145</v>
      </c>
      <c r="D10" s="12" t="s">
        <v>146</v>
      </c>
      <c r="E10" s="108"/>
      <c r="F10" s="108"/>
      <c r="G10" s="134">
        <f>24500000+1651260</f>
        <v>26151260</v>
      </c>
      <c r="H10" s="248"/>
      <c r="I10" s="249"/>
    </row>
    <row r="11" spans="1:9" s="4" customFormat="1" ht="15.6" x14ac:dyDescent="0.3">
      <c r="B11" s="12"/>
      <c r="C11" s="12" t="s">
        <v>147</v>
      </c>
      <c r="D11" s="12" t="s">
        <v>148</v>
      </c>
      <c r="E11" s="108"/>
      <c r="F11" s="108"/>
      <c r="G11" s="218">
        <v>0</v>
      </c>
      <c r="H11" s="219"/>
      <c r="I11" s="249"/>
    </row>
    <row r="12" spans="1:9" s="4" customFormat="1" ht="15.6" x14ac:dyDescent="0.3">
      <c r="B12" s="12"/>
      <c r="C12" s="12" t="s">
        <v>233</v>
      </c>
      <c r="D12" s="12" t="s">
        <v>334</v>
      </c>
      <c r="E12" s="108"/>
      <c r="F12" s="108"/>
      <c r="G12" s="129">
        <v>658800</v>
      </c>
      <c r="H12" s="220"/>
      <c r="I12" s="250"/>
    </row>
    <row r="13" spans="1:9" s="4" customFormat="1" ht="15.6" x14ac:dyDescent="0.3">
      <c r="B13" s="12"/>
      <c r="C13" s="12" t="s">
        <v>335</v>
      </c>
      <c r="D13" s="12" t="s">
        <v>336</v>
      </c>
      <c r="E13" s="108"/>
      <c r="F13" s="108"/>
      <c r="G13" s="251">
        <f>1006880+453103</f>
        <v>1459983</v>
      </c>
      <c r="H13" s="220"/>
      <c r="I13" s="249"/>
    </row>
    <row r="14" spans="1:9" s="4" customFormat="1" ht="15.6" x14ac:dyDescent="0.3">
      <c r="B14" s="12"/>
      <c r="C14" s="12" t="s">
        <v>337</v>
      </c>
      <c r="D14" s="12" t="s">
        <v>338</v>
      </c>
      <c r="E14" s="108"/>
      <c r="F14" s="108"/>
      <c r="G14" s="280">
        <v>1000000</v>
      </c>
      <c r="H14" s="220"/>
      <c r="I14" s="249"/>
    </row>
    <row r="15" spans="1:9" s="4" customFormat="1" ht="15.6" x14ac:dyDescent="0.3">
      <c r="B15" s="12"/>
      <c r="C15" s="12" t="s">
        <v>149</v>
      </c>
      <c r="D15" s="12" t="s">
        <v>150</v>
      </c>
      <c r="E15" s="108"/>
      <c r="F15" s="108"/>
      <c r="G15" s="129">
        <v>500000</v>
      </c>
      <c r="H15" s="220"/>
      <c r="I15" s="249"/>
    </row>
    <row r="16" spans="1:9" s="4" customFormat="1" ht="15.6" x14ac:dyDescent="0.3">
      <c r="B16" s="12"/>
      <c r="C16" s="12" t="s">
        <v>151</v>
      </c>
      <c r="D16" s="12" t="s">
        <v>152</v>
      </c>
      <c r="E16" s="108"/>
      <c r="F16" s="108"/>
      <c r="G16" s="134">
        <v>5517297</v>
      </c>
      <c r="H16" s="220"/>
      <c r="I16" s="221"/>
    </row>
    <row r="17" spans="1:9" s="10" customFormat="1" ht="15.75" customHeight="1" x14ac:dyDescent="0.3">
      <c r="A17" s="10" t="s">
        <v>22</v>
      </c>
      <c r="B17" s="10" t="s">
        <v>158</v>
      </c>
      <c r="E17" s="111"/>
      <c r="F17" s="112"/>
      <c r="G17" s="222">
        <f>SUM(G18:G19)</f>
        <v>5464537.7000000002</v>
      </c>
      <c r="H17" s="223"/>
      <c r="I17" s="224"/>
    </row>
    <row r="18" spans="1:9" s="4" customFormat="1" ht="15.6" x14ac:dyDescent="0.3">
      <c r="B18" s="12"/>
      <c r="C18" s="12"/>
      <c r="D18" s="12" t="s">
        <v>159</v>
      </c>
      <c r="E18" s="108"/>
      <c r="F18" s="108"/>
      <c r="G18" s="134">
        <f>(G8-G14)*0.155</f>
        <v>5314537.7</v>
      </c>
      <c r="H18" s="219"/>
      <c r="I18" s="221"/>
    </row>
    <row r="19" spans="1:9" s="4" customFormat="1" ht="15.6" x14ac:dyDescent="0.3">
      <c r="B19" s="12"/>
      <c r="C19" s="12"/>
      <c r="D19" s="12" t="s">
        <v>339</v>
      </c>
      <c r="E19" s="108"/>
      <c r="F19" s="108"/>
      <c r="G19" s="134">
        <f>G14*15%</f>
        <v>150000</v>
      </c>
      <c r="H19" s="248"/>
      <c r="I19" s="221"/>
    </row>
    <row r="20" spans="1:9" s="10" customFormat="1" ht="15.6" x14ac:dyDescent="0.3">
      <c r="A20" s="10" t="s">
        <v>24</v>
      </c>
      <c r="B20" s="10" t="s">
        <v>25</v>
      </c>
      <c r="E20" s="111"/>
      <c r="F20" s="106"/>
      <c r="G20" s="225">
        <f>SUM(G21+G24+G27+G36+G33)</f>
        <v>22500013</v>
      </c>
      <c r="H20" s="248"/>
      <c r="I20" s="226"/>
    </row>
    <row r="21" spans="1:9" s="4" customFormat="1" ht="15.6" x14ac:dyDescent="0.3">
      <c r="B21" s="4" t="s">
        <v>160</v>
      </c>
      <c r="C21" s="12"/>
      <c r="D21" s="12" t="s">
        <v>161</v>
      </c>
      <c r="E21" s="113"/>
      <c r="F21" s="113"/>
      <c r="G21" s="127">
        <f>SUM(G22+G23)</f>
        <v>5018013</v>
      </c>
      <c r="H21" s="248"/>
      <c r="I21" s="227"/>
    </row>
    <row r="22" spans="1:9" s="4" customFormat="1" ht="15.6" x14ac:dyDescent="0.3">
      <c r="C22" s="12" t="s">
        <v>162</v>
      </c>
      <c r="D22" s="12" t="s">
        <v>163</v>
      </c>
      <c r="E22" s="113"/>
      <c r="F22" s="113"/>
      <c r="G22" s="129">
        <v>1500000</v>
      </c>
      <c r="H22" s="219"/>
      <c r="I22" s="250"/>
    </row>
    <row r="23" spans="1:9" s="4" customFormat="1" ht="15.6" x14ac:dyDescent="0.3">
      <c r="C23" s="12" t="s">
        <v>165</v>
      </c>
      <c r="D23" s="12" t="s">
        <v>166</v>
      </c>
      <c r="E23" s="108"/>
      <c r="F23" s="108"/>
      <c r="G23" s="129">
        <v>3518013</v>
      </c>
      <c r="H23" s="220"/>
      <c r="I23" s="221"/>
    </row>
    <row r="24" spans="1:9" s="5" customFormat="1" ht="15.6" x14ac:dyDescent="0.3">
      <c r="B24" s="4" t="s">
        <v>167</v>
      </c>
      <c r="D24" s="12" t="s">
        <v>340</v>
      </c>
      <c r="E24" s="116"/>
      <c r="F24" s="116"/>
      <c r="G24" s="127">
        <f>G25+G26</f>
        <v>180000</v>
      </c>
      <c r="H24" s="228"/>
      <c r="I24" s="221"/>
    </row>
    <row r="25" spans="1:9" s="5" customFormat="1" ht="15.6" x14ac:dyDescent="0.3">
      <c r="B25" s="4"/>
      <c r="C25" s="12" t="s">
        <v>169</v>
      </c>
      <c r="D25" s="12" t="s">
        <v>170</v>
      </c>
      <c r="E25" s="116"/>
      <c r="F25" s="116"/>
      <c r="G25" s="129">
        <v>90000</v>
      </c>
      <c r="H25" s="228"/>
      <c r="I25" s="221"/>
    </row>
    <row r="26" spans="1:9" s="4" customFormat="1" ht="15.6" x14ac:dyDescent="0.3">
      <c r="C26" s="12" t="s">
        <v>171</v>
      </c>
      <c r="D26" s="12" t="s">
        <v>172</v>
      </c>
      <c r="E26" s="108"/>
      <c r="F26" s="108"/>
      <c r="G26" s="129">
        <v>90000</v>
      </c>
      <c r="I26" s="103"/>
    </row>
    <row r="27" spans="1:9" s="4" customFormat="1" ht="15.6" x14ac:dyDescent="0.3">
      <c r="B27" s="4" t="s">
        <v>173</v>
      </c>
      <c r="C27" s="12"/>
      <c r="D27" s="12" t="s">
        <v>174</v>
      </c>
      <c r="E27" s="108"/>
      <c r="F27" s="108"/>
      <c r="G27" s="229">
        <f>SUM(G28:G31)</f>
        <v>13200000</v>
      </c>
      <c r="I27" s="103"/>
    </row>
    <row r="28" spans="1:9" s="4" customFormat="1" ht="15.6" x14ac:dyDescent="0.3">
      <c r="C28" s="12" t="s">
        <v>175</v>
      </c>
      <c r="D28" s="12" t="s">
        <v>176</v>
      </c>
      <c r="E28" s="108"/>
      <c r="F28" s="108"/>
      <c r="G28" s="129">
        <v>2600000</v>
      </c>
      <c r="I28" s="103"/>
    </row>
    <row r="29" spans="1:9" s="4" customFormat="1" ht="15.6" x14ac:dyDescent="0.3">
      <c r="C29" s="12" t="s">
        <v>341</v>
      </c>
      <c r="D29" s="12" t="s">
        <v>342</v>
      </c>
      <c r="E29" s="108"/>
      <c r="F29" s="108"/>
      <c r="G29" s="134">
        <v>8200000</v>
      </c>
      <c r="I29" s="103"/>
    </row>
    <row r="30" spans="1:9" s="4" customFormat="1" ht="15.6" x14ac:dyDescent="0.3">
      <c r="C30" s="12" t="s">
        <v>177</v>
      </c>
      <c r="D30" s="12" t="s">
        <v>178</v>
      </c>
      <c r="E30" s="108"/>
      <c r="F30" s="108"/>
      <c r="G30" s="134">
        <v>900000</v>
      </c>
      <c r="I30" s="103"/>
    </row>
    <row r="31" spans="1:9" s="4" customFormat="1" ht="15.6" x14ac:dyDescent="0.3">
      <c r="C31" s="12" t="s">
        <v>179</v>
      </c>
      <c r="D31" s="12" t="s">
        <v>180</v>
      </c>
      <c r="E31" s="108"/>
      <c r="F31" s="108"/>
      <c r="G31" s="129">
        <v>1500000</v>
      </c>
      <c r="I31" s="103"/>
    </row>
    <row r="32" spans="1:9" s="4" customFormat="1" ht="15.6" x14ac:dyDescent="0.3">
      <c r="C32" s="12"/>
      <c r="D32" s="12"/>
      <c r="E32" s="108" t="s">
        <v>181</v>
      </c>
      <c r="F32" s="108"/>
      <c r="G32" s="134">
        <v>14000</v>
      </c>
      <c r="I32" s="103"/>
    </row>
    <row r="33" spans="1:9" s="4" customFormat="1" ht="15.6" x14ac:dyDescent="0.3">
      <c r="B33" s="4" t="s">
        <v>182</v>
      </c>
      <c r="C33" s="12"/>
      <c r="D33" s="12" t="s">
        <v>183</v>
      </c>
      <c r="E33" s="108"/>
      <c r="F33" s="108"/>
      <c r="G33" s="230">
        <f>SUM(G34)</f>
        <v>100000</v>
      </c>
      <c r="I33" s="103"/>
    </row>
    <row r="34" spans="1:9" s="4" customFormat="1" ht="15.6" x14ac:dyDescent="0.3">
      <c r="C34" s="12" t="s">
        <v>184</v>
      </c>
      <c r="D34" s="12" t="s">
        <v>185</v>
      </c>
      <c r="E34" s="108"/>
      <c r="F34" s="108"/>
      <c r="G34" s="129">
        <f>G35</f>
        <v>100000</v>
      </c>
      <c r="I34" s="103"/>
    </row>
    <row r="35" spans="1:9" s="4" customFormat="1" ht="15.6" x14ac:dyDescent="0.3">
      <c r="C35" s="12"/>
      <c r="D35" s="12"/>
      <c r="E35" s="108" t="s">
        <v>343</v>
      </c>
      <c r="F35" s="108"/>
      <c r="G35" s="134">
        <v>100000</v>
      </c>
      <c r="I35" s="103"/>
    </row>
    <row r="36" spans="1:9" s="4" customFormat="1" ht="15.6" x14ac:dyDescent="0.3">
      <c r="B36" s="4" t="s">
        <v>186</v>
      </c>
      <c r="C36" s="12"/>
      <c r="D36" s="12" t="s">
        <v>187</v>
      </c>
      <c r="E36" s="12"/>
      <c r="F36" s="130"/>
      <c r="G36" s="229">
        <f>SUM(G37:G39)</f>
        <v>4002000</v>
      </c>
      <c r="I36" s="103"/>
    </row>
    <row r="37" spans="1:9" s="4" customFormat="1" ht="15.6" x14ac:dyDescent="0.3">
      <c r="C37" s="12" t="s">
        <v>188</v>
      </c>
      <c r="D37" s="12" t="s">
        <v>189</v>
      </c>
      <c r="E37" s="12"/>
      <c r="F37" s="130"/>
      <c r="G37" s="133">
        <v>4000000</v>
      </c>
      <c r="I37" s="103"/>
    </row>
    <row r="38" spans="1:9" s="4" customFormat="1" ht="15.6" x14ac:dyDescent="0.3">
      <c r="C38" s="12" t="s">
        <v>190</v>
      </c>
      <c r="D38" s="12" t="s">
        <v>344</v>
      </c>
      <c r="E38" s="12"/>
      <c r="F38" s="130"/>
      <c r="G38" s="133">
        <v>1000</v>
      </c>
      <c r="I38" s="103"/>
    </row>
    <row r="39" spans="1:9" s="4" customFormat="1" ht="15.6" x14ac:dyDescent="0.3">
      <c r="C39" s="12" t="s">
        <v>192</v>
      </c>
      <c r="D39" s="12" t="s">
        <v>193</v>
      </c>
      <c r="E39" s="12"/>
      <c r="F39" s="130"/>
      <c r="G39" s="36">
        <v>1000</v>
      </c>
      <c r="I39" s="103"/>
    </row>
    <row r="40" spans="1:9" s="10" customFormat="1" ht="15.6" x14ac:dyDescent="0.3">
      <c r="A40" s="10" t="s">
        <v>31</v>
      </c>
      <c r="B40" s="10" t="s">
        <v>32</v>
      </c>
      <c r="F40" s="121"/>
      <c r="G40" s="231">
        <f>SUM(G41:G42)</f>
        <v>0</v>
      </c>
      <c r="I40" s="232"/>
    </row>
    <row r="41" spans="1:9" s="10" customFormat="1" ht="15.6" x14ac:dyDescent="0.3">
      <c r="B41" s="12" t="s">
        <v>216</v>
      </c>
      <c r="D41" s="12" t="s">
        <v>300</v>
      </c>
      <c r="F41" s="121"/>
      <c r="G41" s="134">
        <v>0</v>
      </c>
      <c r="I41" s="232"/>
    </row>
    <row r="42" spans="1:9" s="10" customFormat="1" ht="15" customHeight="1" x14ac:dyDescent="0.3">
      <c r="B42" s="12" t="s">
        <v>218</v>
      </c>
      <c r="D42" s="12" t="s">
        <v>345</v>
      </c>
      <c r="F42" s="233"/>
      <c r="G42" s="134">
        <v>0</v>
      </c>
      <c r="I42" s="232"/>
    </row>
    <row r="43" spans="1:9" s="243" customFormat="1" ht="30" customHeight="1" x14ac:dyDescent="0.3">
      <c r="A43" s="325" t="s">
        <v>299</v>
      </c>
      <c r="B43" s="325"/>
      <c r="C43" s="325"/>
      <c r="D43" s="325"/>
      <c r="E43" s="325"/>
      <c r="F43" s="252">
        <v>1</v>
      </c>
      <c r="G43" s="253">
        <f>SUM(G44+G49)</f>
        <v>1055000</v>
      </c>
      <c r="I43" s="244"/>
    </row>
    <row r="44" spans="1:9" s="10" customFormat="1" ht="15.6" x14ac:dyDescent="0.3">
      <c r="A44" s="10" t="s">
        <v>20</v>
      </c>
      <c r="B44" s="14" t="s">
        <v>142</v>
      </c>
      <c r="C44" s="14"/>
      <c r="D44" s="14"/>
      <c r="E44" s="106"/>
      <c r="F44" s="106"/>
      <c r="G44" s="132">
        <f>SUM(G45)</f>
        <v>979000</v>
      </c>
      <c r="H44" s="34"/>
      <c r="I44" s="234"/>
    </row>
    <row r="45" spans="1:9" s="4" customFormat="1" ht="15.6" x14ac:dyDescent="0.3">
      <c r="B45" s="12" t="s">
        <v>143</v>
      </c>
      <c r="C45" s="12"/>
      <c r="D45" s="12" t="s">
        <v>144</v>
      </c>
      <c r="E45" s="108"/>
      <c r="F45" s="108"/>
      <c r="G45" s="127">
        <f>SUM(G46:G48)</f>
        <v>979000</v>
      </c>
      <c r="I45" s="103"/>
    </row>
    <row r="46" spans="1:9" s="4" customFormat="1" ht="15.6" x14ac:dyDescent="0.3">
      <c r="B46" s="12"/>
      <c r="C46" s="12" t="s">
        <v>145</v>
      </c>
      <c r="D46" s="12" t="s">
        <v>146</v>
      </c>
      <c r="E46" s="108"/>
      <c r="F46" s="108"/>
      <c r="G46" s="134">
        <v>979000</v>
      </c>
      <c r="I46" s="103"/>
    </row>
    <row r="47" spans="1:9" s="4" customFormat="1" ht="15.6" x14ac:dyDescent="0.3">
      <c r="B47" s="12"/>
      <c r="C47" s="12" t="s">
        <v>147</v>
      </c>
      <c r="D47" s="12" t="s">
        <v>346</v>
      </c>
      <c r="E47" s="108"/>
      <c r="F47" s="108"/>
      <c r="G47" s="134">
        <v>0</v>
      </c>
      <c r="I47" s="103"/>
    </row>
    <row r="48" spans="1:9" s="4" customFormat="1" ht="15.75" customHeight="1" x14ac:dyDescent="0.3">
      <c r="B48" s="12"/>
      <c r="C48" s="12" t="s">
        <v>151</v>
      </c>
      <c r="D48" s="12" t="s">
        <v>152</v>
      </c>
      <c r="E48" s="108"/>
      <c r="F48" s="108"/>
      <c r="G48" s="134">
        <v>0</v>
      </c>
      <c r="I48" s="103"/>
    </row>
    <row r="49" spans="1:9" s="10" customFormat="1" ht="15.6" x14ac:dyDescent="0.3">
      <c r="A49" s="10" t="s">
        <v>22</v>
      </c>
      <c r="B49" s="10" t="s">
        <v>158</v>
      </c>
      <c r="E49" s="111"/>
      <c r="F49" s="112"/>
      <c r="G49" s="132">
        <f>SUM(G50)</f>
        <v>76000</v>
      </c>
      <c r="I49" s="232"/>
    </row>
    <row r="50" spans="1:9" s="4" customFormat="1" ht="24.75" customHeight="1" x14ac:dyDescent="0.3">
      <c r="B50" s="12"/>
      <c r="C50" s="12"/>
      <c r="D50" s="12" t="s">
        <v>159</v>
      </c>
      <c r="E50" s="108"/>
      <c r="F50" s="108"/>
      <c r="G50" s="134">
        <f>76000</f>
        <v>76000</v>
      </c>
      <c r="I50" s="103"/>
    </row>
    <row r="51" spans="1:9" s="243" customFormat="1" ht="20.399999999999999" customHeight="1" x14ac:dyDescent="0.3">
      <c r="A51" s="254" t="s">
        <v>37</v>
      </c>
      <c r="B51" s="255"/>
      <c r="C51" s="255"/>
      <c r="D51" s="255"/>
      <c r="E51" s="256"/>
      <c r="F51" s="256"/>
      <c r="G51" s="257">
        <f>SUM(G7,G43)</f>
        <v>64306890.700000003</v>
      </c>
      <c r="I51" s="244"/>
    </row>
    <row r="52" spans="1:9" s="243" customFormat="1" ht="15.6" x14ac:dyDescent="0.3">
      <c r="A52" s="258" t="s">
        <v>347</v>
      </c>
      <c r="B52" s="259"/>
      <c r="C52" s="259"/>
      <c r="D52" s="259"/>
      <c r="E52" s="260"/>
      <c r="F52" s="261">
        <f>SUM(F7,F43)</f>
        <v>9</v>
      </c>
      <c r="G52" s="262"/>
      <c r="I52" s="244"/>
    </row>
    <row r="53" spans="1:9" s="4" customFormat="1" ht="15.6" x14ac:dyDescent="0.3">
      <c r="A53" s="54" t="s">
        <v>20</v>
      </c>
      <c r="B53" s="53" t="s">
        <v>142</v>
      </c>
      <c r="C53" s="53"/>
      <c r="D53" s="53"/>
      <c r="E53" s="53"/>
      <c r="F53" s="235"/>
      <c r="G53" s="263">
        <f>G8+G44</f>
        <v>36266340</v>
      </c>
      <c r="H53" s="135"/>
      <c r="I53" s="103"/>
    </row>
    <row r="54" spans="1:9" s="4" customFormat="1" ht="15.6" x14ac:dyDescent="0.3">
      <c r="A54" s="54" t="s">
        <v>22</v>
      </c>
      <c r="B54" s="58" t="s">
        <v>158</v>
      </c>
      <c r="C54" s="58"/>
      <c r="D54" s="58"/>
      <c r="E54" s="58"/>
      <c r="F54" s="236"/>
      <c r="G54" s="264">
        <f>G17+G49</f>
        <v>5540537.7000000002</v>
      </c>
      <c r="H54" s="135"/>
      <c r="I54" s="103"/>
    </row>
    <row r="55" spans="1:9" s="4" customFormat="1" ht="15.6" x14ac:dyDescent="0.3">
      <c r="A55" s="54" t="s">
        <v>24</v>
      </c>
      <c r="B55" s="58" t="s">
        <v>25</v>
      </c>
      <c r="C55" s="58"/>
      <c r="D55" s="58"/>
      <c r="E55" s="58"/>
      <c r="F55" s="236"/>
      <c r="G55" s="264">
        <f>G20</f>
        <v>22500013</v>
      </c>
      <c r="H55" s="135"/>
      <c r="I55" s="103"/>
    </row>
    <row r="56" spans="1:9" s="266" customFormat="1" ht="15.6" x14ac:dyDescent="0.3">
      <c r="A56" s="54" t="s">
        <v>31</v>
      </c>
      <c r="B56" s="58" t="s">
        <v>32</v>
      </c>
      <c r="C56" s="58"/>
      <c r="D56" s="58"/>
      <c r="E56" s="58"/>
      <c r="F56" s="236"/>
      <c r="G56" s="265">
        <f>G40</f>
        <v>0</v>
      </c>
      <c r="I56" s="267"/>
    </row>
    <row r="57" spans="1:9" s="266" customFormat="1" ht="20.399999999999999" customHeight="1" x14ac:dyDescent="0.3">
      <c r="A57" s="254" t="s">
        <v>348</v>
      </c>
      <c r="B57" s="255"/>
      <c r="C57" s="255"/>
      <c r="D57" s="255"/>
      <c r="E57" s="255"/>
      <c r="F57" s="255"/>
      <c r="G57" s="268">
        <f>SUM(G53:G56)</f>
        <v>64306890.700000003</v>
      </c>
      <c r="I57" s="267"/>
    </row>
    <row r="58" spans="1:9" s="243" customFormat="1" ht="18" customHeight="1" x14ac:dyDescent="0.3">
      <c r="F58" s="269"/>
      <c r="G58" s="264"/>
      <c r="I58" s="244"/>
    </row>
    <row r="59" spans="1:9" s="243" customFormat="1" ht="16.95" customHeight="1" x14ac:dyDescent="0.3">
      <c r="F59" s="270"/>
      <c r="G59" s="264"/>
      <c r="I59" s="244"/>
    </row>
    <row r="60" spans="1:9" s="243" customFormat="1" ht="15.6" x14ac:dyDescent="0.3">
      <c r="E60" s="271"/>
      <c r="F60" s="272"/>
      <c r="I60" s="244"/>
    </row>
    <row r="61" spans="1:9" s="241" customFormat="1" ht="15.6" x14ac:dyDescent="0.3">
      <c r="E61" s="273"/>
      <c r="F61" s="274"/>
      <c r="I61" s="242"/>
    </row>
    <row r="62" spans="1:9" s="241" customFormat="1" ht="15.6" x14ac:dyDescent="0.3">
      <c r="E62" s="273"/>
      <c r="F62" s="274"/>
      <c r="I62" s="242"/>
    </row>
    <row r="63" spans="1:9" s="241" customFormat="1" ht="15.6" x14ac:dyDescent="0.3">
      <c r="F63" s="275"/>
      <c r="G63" s="266"/>
      <c r="I63" s="242"/>
    </row>
    <row r="64" spans="1:9" ht="15.6" x14ac:dyDescent="0.3">
      <c r="F64" s="266"/>
      <c r="G64" s="276"/>
    </row>
    <row r="65" spans="7:7" ht="15.6" x14ac:dyDescent="0.3">
      <c r="G65" s="276"/>
    </row>
    <row r="66" spans="7:7" ht="15.6" x14ac:dyDescent="0.3">
      <c r="G66" s="276"/>
    </row>
  </sheetData>
  <sheetProtection selectLockedCells="1" selectUnlockedCells="1"/>
  <mergeCells count="8">
    <mergeCell ref="A7:E7"/>
    <mergeCell ref="A43:E43"/>
    <mergeCell ref="A1:G1"/>
    <mergeCell ref="A2:G2"/>
    <mergeCell ref="A3:G3"/>
    <mergeCell ref="A4:G4"/>
    <mergeCell ref="A5:E6"/>
    <mergeCell ref="F5:F6"/>
  </mergeCells>
  <printOptions headings="1" gridLines="1"/>
  <pageMargins left="0.74791666666666667" right="0.74791666666666667" top="0.98402777777777772" bottom="0.98402777777777772" header="0.51180555555555551" footer="0.51180555555555551"/>
  <pageSetup paperSize="9" scale="73" firstPageNumber="0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zoomScale="120" zoomScaleNormal="120" zoomScaleSheetLayoutView="120" workbookViewId="0">
      <selection activeCell="A9" sqref="A9"/>
    </sheetView>
  </sheetViews>
  <sheetFormatPr defaultColWidth="9.109375" defaultRowHeight="13.2" x14ac:dyDescent="0.25"/>
  <cols>
    <col min="1" max="1" width="65.109375" style="176" customWidth="1"/>
    <col min="2" max="2" width="18" style="176" customWidth="1"/>
    <col min="3" max="16384" width="9.109375" style="176"/>
  </cols>
  <sheetData>
    <row r="1" spans="1:2" ht="15.6" x14ac:dyDescent="0.3">
      <c r="A1" s="311" t="s">
        <v>350</v>
      </c>
      <c r="B1" s="311"/>
    </row>
    <row r="2" spans="1:2" ht="15.6" x14ac:dyDescent="0.3">
      <c r="A2" s="311"/>
      <c r="B2" s="311"/>
    </row>
    <row r="3" spans="1:2" ht="15.6" x14ac:dyDescent="0.3">
      <c r="A3" s="177"/>
    </row>
    <row r="4" spans="1:2" s="180" customFormat="1" ht="21" customHeight="1" x14ac:dyDescent="0.3">
      <c r="A4" s="312" t="s">
        <v>289</v>
      </c>
      <c r="B4" s="312"/>
    </row>
    <row r="5" spans="1:2" s="180" customFormat="1" ht="23.25" customHeight="1" x14ac:dyDescent="0.3">
      <c r="A5" s="312" t="s">
        <v>319</v>
      </c>
      <c r="B5" s="312"/>
    </row>
    <row r="6" spans="1:2" s="180" customFormat="1" ht="23.25" customHeight="1" x14ac:dyDescent="0.3">
      <c r="A6" s="181"/>
      <c r="B6" s="181"/>
    </row>
    <row r="7" spans="1:2" s="180" customFormat="1" ht="15.75" customHeight="1" x14ac:dyDescent="0.3">
      <c r="A7" s="313" t="s">
        <v>262</v>
      </c>
      <c r="B7" s="182" t="s">
        <v>124</v>
      </c>
    </row>
    <row r="8" spans="1:2" s="180" customFormat="1" ht="39" customHeight="1" x14ac:dyDescent="0.3">
      <c r="A8" s="313"/>
      <c r="B8" s="183" t="s">
        <v>125</v>
      </c>
    </row>
    <row r="9" spans="1:2" s="180" customFormat="1" ht="23.25" customHeight="1" x14ac:dyDescent="0.3">
      <c r="A9" s="184" t="s">
        <v>301</v>
      </c>
      <c r="B9" s="185">
        <v>0</v>
      </c>
    </row>
    <row r="10" spans="1:2" s="187" customFormat="1" ht="23.25" customHeight="1" x14ac:dyDescent="0.3">
      <c r="A10" s="186"/>
      <c r="B10" s="188">
        <v>0</v>
      </c>
    </row>
    <row r="11" spans="1:2" s="193" customFormat="1" ht="26.25" customHeight="1" x14ac:dyDescent="0.3">
      <c r="A11" s="210" t="s">
        <v>288</v>
      </c>
      <c r="B11" s="211">
        <f>SUM(B9:B10)</f>
        <v>0</v>
      </c>
    </row>
  </sheetData>
  <sheetProtection selectLockedCells="1" selectUnlockedCells="1"/>
  <mergeCells count="5">
    <mergeCell ref="A1:B1"/>
    <mergeCell ref="A2:B2"/>
    <mergeCell ref="A4:B4"/>
    <mergeCell ref="A5:B5"/>
    <mergeCell ref="A7:A8"/>
  </mergeCells>
  <printOptions headings="1" gridLines="1"/>
  <pageMargins left="0.75" right="0.75" top="1" bottom="1" header="0.51180555555555551" footer="0.51180555555555551"/>
  <pageSetup paperSize="9" scale="95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7"/>
  <sheetViews>
    <sheetView view="pageBreakPreview" topLeftCell="A97" zoomScale="120" zoomScaleNormal="120" zoomScaleSheetLayoutView="120" workbookViewId="0">
      <selection activeCell="F64" sqref="F64"/>
    </sheetView>
  </sheetViews>
  <sheetFormatPr defaultColWidth="9.109375" defaultRowHeight="15.6" x14ac:dyDescent="0.3"/>
  <cols>
    <col min="1" max="1" width="4" style="4" customWidth="1"/>
    <col min="2" max="2" width="4.44140625" style="4" customWidth="1"/>
    <col min="3" max="3" width="6.44140625" style="4" customWidth="1"/>
    <col min="4" max="4" width="2.5546875" style="4" customWidth="1"/>
    <col min="5" max="5" width="76.109375" style="4" customWidth="1"/>
    <col min="6" max="6" width="18.33203125" style="4" customWidth="1"/>
    <col min="7" max="7" width="16.21875" style="4" customWidth="1"/>
    <col min="8" max="16384" width="9.109375" style="4"/>
  </cols>
  <sheetData>
    <row r="1" spans="1:9" x14ac:dyDescent="0.3">
      <c r="A1" s="288" t="s">
        <v>306</v>
      </c>
      <c r="B1" s="288"/>
      <c r="C1" s="288"/>
      <c r="D1" s="288"/>
      <c r="E1" s="288"/>
      <c r="F1" s="288"/>
    </row>
    <row r="2" spans="1:9" s="28" customFormat="1" ht="16.5" customHeight="1" x14ac:dyDescent="0.3">
      <c r="A2" s="288"/>
      <c r="B2" s="288"/>
      <c r="C2" s="288"/>
      <c r="D2" s="288"/>
      <c r="E2" s="288"/>
      <c r="F2" s="288"/>
    </row>
    <row r="3" spans="1:9" ht="22.5" customHeight="1" x14ac:dyDescent="0.3">
      <c r="A3" s="283" t="s">
        <v>0</v>
      </c>
      <c r="B3" s="283"/>
      <c r="C3" s="283"/>
      <c r="D3" s="283"/>
      <c r="E3" s="283"/>
      <c r="F3" s="283"/>
    </row>
    <row r="4" spans="1:9" ht="18" customHeight="1" x14ac:dyDescent="0.3">
      <c r="A4" s="283" t="s">
        <v>307</v>
      </c>
      <c r="B4" s="283"/>
      <c r="C4" s="283"/>
      <c r="D4" s="283"/>
      <c r="E4" s="283"/>
      <c r="F4" s="283"/>
    </row>
    <row r="5" spans="1:9" x14ac:dyDescent="0.3">
      <c r="A5" s="289"/>
      <c r="B5" s="289"/>
      <c r="C5" s="289"/>
      <c r="D5" s="289"/>
      <c r="E5" s="289"/>
      <c r="F5" s="29"/>
    </row>
    <row r="6" spans="1:9" ht="23.4" customHeight="1" x14ac:dyDescent="0.3">
      <c r="A6" s="286" t="s">
        <v>38</v>
      </c>
      <c r="B6" s="286"/>
      <c r="C6" s="286"/>
      <c r="D6" s="286"/>
      <c r="E6" s="286"/>
      <c r="F6" s="31" t="s">
        <v>124</v>
      </c>
    </row>
    <row r="7" spans="1:9" s="10" customFormat="1" ht="18.600000000000001" customHeight="1" x14ac:dyDescent="0.3">
      <c r="A7" s="286"/>
      <c r="B7" s="286"/>
      <c r="C7" s="286"/>
      <c r="D7" s="286"/>
      <c r="E7" s="286"/>
      <c r="F7" s="31" t="s">
        <v>3</v>
      </c>
    </row>
    <row r="8" spans="1:9" s="10" customFormat="1" ht="30" customHeight="1" x14ac:dyDescent="0.3">
      <c r="A8" s="32" t="s">
        <v>39</v>
      </c>
      <c r="B8" s="32"/>
      <c r="C8" s="32"/>
      <c r="D8" s="32"/>
      <c r="E8" s="32"/>
      <c r="F8" s="33">
        <f>SUM(F9)</f>
        <v>600000</v>
      </c>
    </row>
    <row r="9" spans="1:9" s="10" customFormat="1" x14ac:dyDescent="0.3">
      <c r="A9" s="10" t="s">
        <v>9</v>
      </c>
      <c r="B9" s="10" t="s">
        <v>10</v>
      </c>
      <c r="F9" s="34">
        <f>SUM(F10)</f>
        <v>600000</v>
      </c>
    </row>
    <row r="10" spans="1:9" x14ac:dyDescent="0.3">
      <c r="C10" s="4" t="s">
        <v>40</v>
      </c>
      <c r="D10" s="4" t="s">
        <v>41</v>
      </c>
      <c r="F10" s="35">
        <f>SUM(F11)</f>
        <v>600000</v>
      </c>
    </row>
    <row r="11" spans="1:9" x14ac:dyDescent="0.3">
      <c r="E11" s="4" t="s">
        <v>42</v>
      </c>
      <c r="F11" s="36">
        <v>600000</v>
      </c>
      <c r="G11" s="12"/>
    </row>
    <row r="12" spans="1:9" ht="30" customHeight="1" x14ac:dyDescent="0.3">
      <c r="A12" s="285" t="s">
        <v>43</v>
      </c>
      <c r="B12" s="285"/>
      <c r="C12" s="285"/>
      <c r="D12" s="285"/>
      <c r="E12" s="285"/>
      <c r="F12" s="37">
        <f>SUM(F17+F13)</f>
        <v>66000</v>
      </c>
    </row>
    <row r="13" spans="1:9" s="10" customFormat="1" x14ac:dyDescent="0.3">
      <c r="A13" s="10" t="s">
        <v>9</v>
      </c>
      <c r="B13" s="10" t="s">
        <v>10</v>
      </c>
      <c r="F13" s="34">
        <f>SUM(F14:F16)</f>
        <v>61000</v>
      </c>
    </row>
    <row r="14" spans="1:9" x14ac:dyDescent="0.3">
      <c r="C14" s="4" t="s">
        <v>40</v>
      </c>
      <c r="D14" s="4" t="s">
        <v>41</v>
      </c>
      <c r="F14" s="35">
        <v>50000</v>
      </c>
      <c r="G14" s="38"/>
      <c r="H14" s="38"/>
      <c r="I14" s="29"/>
    </row>
    <row r="15" spans="1:9" x14ac:dyDescent="0.3">
      <c r="C15" s="4" t="s">
        <v>44</v>
      </c>
      <c r="D15" s="4" t="s">
        <v>45</v>
      </c>
      <c r="F15" s="35">
        <v>1000</v>
      </c>
    </row>
    <row r="16" spans="1:9" x14ac:dyDescent="0.3">
      <c r="C16" s="4" t="s">
        <v>46</v>
      </c>
      <c r="D16" s="4" t="s">
        <v>47</v>
      </c>
      <c r="F16" s="35">
        <v>10000</v>
      </c>
    </row>
    <row r="17" spans="1:9" s="10" customFormat="1" x14ac:dyDescent="0.3">
      <c r="A17" s="10" t="s">
        <v>11</v>
      </c>
      <c r="B17" s="10" t="s">
        <v>12</v>
      </c>
      <c r="F17" s="39">
        <f>SUM(F18)</f>
        <v>5000</v>
      </c>
      <c r="G17" s="40"/>
      <c r="H17" s="40"/>
      <c r="I17" s="41"/>
    </row>
    <row r="18" spans="1:9" x14ac:dyDescent="0.3">
      <c r="B18" s="4" t="s">
        <v>48</v>
      </c>
      <c r="D18" s="4" t="s">
        <v>49</v>
      </c>
      <c r="F18" s="35">
        <v>5000</v>
      </c>
      <c r="G18" s="38"/>
      <c r="H18" s="38"/>
      <c r="I18" s="29"/>
    </row>
    <row r="19" spans="1:9" ht="30" customHeight="1" x14ac:dyDescent="0.3">
      <c r="A19" s="285" t="s">
        <v>50</v>
      </c>
      <c r="B19" s="285"/>
      <c r="C19" s="285"/>
      <c r="D19" s="285"/>
      <c r="E19" s="285"/>
      <c r="F19" s="37">
        <f>SUM(F20)</f>
        <v>33175175</v>
      </c>
    </row>
    <row r="20" spans="1:9" s="10" customFormat="1" x14ac:dyDescent="0.3">
      <c r="A20" s="10" t="s">
        <v>16</v>
      </c>
      <c r="B20" s="10" t="s">
        <v>17</v>
      </c>
      <c r="F20" s="34">
        <f>SUM(F21)</f>
        <v>33175175</v>
      </c>
    </row>
    <row r="21" spans="1:9" x14ac:dyDescent="0.3">
      <c r="B21" s="4" t="s">
        <v>51</v>
      </c>
      <c r="D21" s="4" t="s">
        <v>52</v>
      </c>
      <c r="F21" s="3">
        <f>SUM(F22)</f>
        <v>33175175</v>
      </c>
    </row>
    <row r="22" spans="1:9" x14ac:dyDescent="0.3">
      <c r="C22" s="4" t="s">
        <v>53</v>
      </c>
      <c r="D22" s="4" t="s">
        <v>54</v>
      </c>
      <c r="F22" s="35">
        <f>SUM(F23)</f>
        <v>33175175</v>
      </c>
    </row>
    <row r="23" spans="1:9" x14ac:dyDescent="0.3">
      <c r="C23" s="4" t="s">
        <v>55</v>
      </c>
      <c r="E23" s="4" t="s">
        <v>56</v>
      </c>
      <c r="F23" s="35">
        <v>33175175</v>
      </c>
    </row>
    <row r="24" spans="1:9" s="10" customFormat="1" ht="30.75" customHeight="1" x14ac:dyDescent="0.3">
      <c r="A24" s="42" t="s">
        <v>57</v>
      </c>
      <c r="B24" s="42"/>
      <c r="C24" s="42"/>
      <c r="D24" s="42"/>
      <c r="E24" s="42"/>
      <c r="F24" s="43">
        <f>SUM(F25)</f>
        <v>5900000</v>
      </c>
    </row>
    <row r="25" spans="1:9" s="10" customFormat="1" x14ac:dyDescent="0.3">
      <c r="A25" s="10" t="s">
        <v>7</v>
      </c>
      <c r="B25" s="10" t="s">
        <v>8</v>
      </c>
      <c r="F25" s="34">
        <f>SUM(F26+F29+F36)</f>
        <v>5900000</v>
      </c>
    </row>
    <row r="26" spans="1:9" x14ac:dyDescent="0.3">
      <c r="B26" s="4" t="s">
        <v>58</v>
      </c>
      <c r="D26" s="4" t="s">
        <v>59</v>
      </c>
      <c r="F26" s="44">
        <f>SUM(F27:F28)</f>
        <v>4100000</v>
      </c>
    </row>
    <row r="27" spans="1:9" x14ac:dyDescent="0.3">
      <c r="E27" s="4" t="s">
        <v>60</v>
      </c>
      <c r="F27" s="36">
        <v>2000000</v>
      </c>
    </row>
    <row r="28" spans="1:9" x14ac:dyDescent="0.3">
      <c r="A28" s="10"/>
      <c r="B28" s="10"/>
      <c r="C28" s="10"/>
      <c r="D28" s="10"/>
      <c r="E28" s="4" t="s">
        <v>61</v>
      </c>
      <c r="F28" s="36">
        <v>2100000</v>
      </c>
    </row>
    <row r="29" spans="1:9" x14ac:dyDescent="0.3">
      <c r="A29" s="10"/>
      <c r="B29" s="4" t="s">
        <v>62</v>
      </c>
      <c r="D29" s="4" t="s">
        <v>63</v>
      </c>
      <c r="F29" s="3">
        <f>SUM(F30+F32+F34)</f>
        <v>1650000</v>
      </c>
    </row>
    <row r="30" spans="1:9" x14ac:dyDescent="0.3">
      <c r="A30" s="10"/>
      <c r="C30" s="4" t="s">
        <v>64</v>
      </c>
      <c r="D30" s="4" t="s">
        <v>65</v>
      </c>
      <c r="F30" s="44">
        <f>SUM(F31)</f>
        <v>1650000</v>
      </c>
    </row>
    <row r="31" spans="1:9" x14ac:dyDescent="0.3">
      <c r="A31" s="10"/>
      <c r="E31" s="4" t="s">
        <v>66</v>
      </c>
      <c r="F31" s="36">
        <v>1650000</v>
      </c>
    </row>
    <row r="32" spans="1:9" x14ac:dyDescent="0.3">
      <c r="A32" s="10"/>
      <c r="C32" s="4" t="s">
        <v>67</v>
      </c>
      <c r="D32" s="4" t="s">
        <v>68</v>
      </c>
      <c r="F32" s="44">
        <f>SUM(F33)</f>
        <v>0</v>
      </c>
    </row>
    <row r="33" spans="1:7" x14ac:dyDescent="0.3">
      <c r="A33" s="10"/>
      <c r="E33" s="4" t="s">
        <v>69</v>
      </c>
      <c r="F33" s="36">
        <v>0</v>
      </c>
    </row>
    <row r="34" spans="1:7" x14ac:dyDescent="0.3">
      <c r="A34" s="10"/>
      <c r="C34" s="4" t="s">
        <v>70</v>
      </c>
      <c r="D34" s="4" t="s">
        <v>71</v>
      </c>
      <c r="F34" s="44">
        <f>SUM(F35)</f>
        <v>0</v>
      </c>
    </row>
    <row r="35" spans="1:7" x14ac:dyDescent="0.3">
      <c r="A35" s="10"/>
      <c r="E35" s="4" t="s">
        <v>72</v>
      </c>
      <c r="F35" s="36">
        <v>0</v>
      </c>
    </row>
    <row r="36" spans="1:7" x14ac:dyDescent="0.3">
      <c r="B36" s="4" t="s">
        <v>73</v>
      </c>
      <c r="D36" s="4" t="s">
        <v>74</v>
      </c>
      <c r="F36" s="3">
        <f>SUM(F37:F37)</f>
        <v>150000</v>
      </c>
    </row>
    <row r="37" spans="1:7" x14ac:dyDescent="0.3">
      <c r="E37" s="4" t="s">
        <v>322</v>
      </c>
      <c r="F37" s="36">
        <v>150000</v>
      </c>
    </row>
    <row r="38" spans="1:7" s="10" customFormat="1" ht="30" customHeight="1" x14ac:dyDescent="0.3">
      <c r="A38" s="42" t="s">
        <v>76</v>
      </c>
      <c r="B38" s="42"/>
      <c r="C38" s="42"/>
      <c r="D38" s="42"/>
      <c r="E38" s="42"/>
      <c r="F38" s="37">
        <f>SUM(F39)</f>
        <v>100000</v>
      </c>
    </row>
    <row r="39" spans="1:7" s="10" customFormat="1" x14ac:dyDescent="0.3">
      <c r="A39" s="10" t="s">
        <v>9</v>
      </c>
      <c r="B39" s="10" t="s">
        <v>10</v>
      </c>
      <c r="F39" s="39">
        <f>SUM(F40)</f>
        <v>100000</v>
      </c>
    </row>
    <row r="40" spans="1:7" x14ac:dyDescent="0.3">
      <c r="C40" s="4" t="s">
        <v>40</v>
      </c>
      <c r="D40" s="4" t="s">
        <v>41</v>
      </c>
      <c r="F40" s="35">
        <v>100000</v>
      </c>
    </row>
    <row r="41" spans="1:7" s="10" customFormat="1" ht="30.6" customHeight="1" x14ac:dyDescent="0.3">
      <c r="A41" s="42" t="s">
        <v>77</v>
      </c>
      <c r="B41" s="42"/>
      <c r="C41" s="42"/>
      <c r="D41" s="42"/>
      <c r="E41" s="42"/>
      <c r="F41" s="37">
        <f>SUM(F42)</f>
        <v>60734582</v>
      </c>
    </row>
    <row r="42" spans="1:7" ht="18" customHeight="1" x14ac:dyDescent="0.3">
      <c r="A42" s="10" t="s">
        <v>5</v>
      </c>
      <c r="B42" s="10" t="s">
        <v>6</v>
      </c>
      <c r="C42" s="10"/>
      <c r="D42" s="10"/>
      <c r="E42" s="10"/>
      <c r="F42" s="45">
        <f>SUM(F43+F63)</f>
        <v>60734582</v>
      </c>
      <c r="G42" s="3"/>
    </row>
    <row r="43" spans="1:7" x14ac:dyDescent="0.3">
      <c r="B43" s="4" t="s">
        <v>78</v>
      </c>
      <c r="D43" s="4" t="s">
        <v>79</v>
      </c>
      <c r="F43" s="35">
        <f>SUM(F44+F54+F61+F62)</f>
        <v>55217285</v>
      </c>
    </row>
    <row r="44" spans="1:7" s="10" customFormat="1" x14ac:dyDescent="0.3">
      <c r="C44" s="4" t="s">
        <v>80</v>
      </c>
      <c r="D44" s="4" t="s">
        <v>81</v>
      </c>
      <c r="E44" s="4"/>
      <c r="F44" s="39">
        <f>SUM(F45,F50,F51,F52,F53)</f>
        <v>15872005</v>
      </c>
    </row>
    <row r="45" spans="1:7" s="10" customFormat="1" x14ac:dyDescent="0.3">
      <c r="C45" s="4"/>
      <c r="D45" s="4"/>
      <c r="E45" s="4" t="s">
        <v>82</v>
      </c>
      <c r="F45" s="44">
        <f>SUM(F46:F49)</f>
        <v>7042973</v>
      </c>
    </row>
    <row r="46" spans="1:7" s="10" customFormat="1" x14ac:dyDescent="0.3">
      <c r="C46" s="4"/>
      <c r="D46" s="4"/>
      <c r="E46" s="4" t="s">
        <v>83</v>
      </c>
      <c r="F46" s="35">
        <v>1838653</v>
      </c>
    </row>
    <row r="47" spans="1:7" s="10" customFormat="1" x14ac:dyDescent="0.3">
      <c r="C47" s="4"/>
      <c r="D47" s="4"/>
      <c r="E47" s="4" t="s">
        <v>84</v>
      </c>
      <c r="F47" s="35">
        <v>2970716</v>
      </c>
    </row>
    <row r="48" spans="1:7" s="10" customFormat="1" x14ac:dyDescent="0.3">
      <c r="C48" s="4"/>
      <c r="D48" s="4"/>
      <c r="E48" s="4" t="s">
        <v>85</v>
      </c>
      <c r="F48" s="35">
        <v>1081146</v>
      </c>
    </row>
    <row r="49" spans="2:7" s="10" customFormat="1" x14ac:dyDescent="0.3">
      <c r="C49" s="4"/>
      <c r="D49" s="4"/>
      <c r="E49" s="4" t="s">
        <v>86</v>
      </c>
      <c r="F49" s="35">
        <v>1152458</v>
      </c>
    </row>
    <row r="50" spans="2:7" s="10" customFormat="1" x14ac:dyDescent="0.3">
      <c r="C50" s="4"/>
      <c r="D50" s="4"/>
      <c r="E50" s="4" t="s">
        <v>87</v>
      </c>
      <c r="F50" s="44">
        <v>8703270</v>
      </c>
    </row>
    <row r="51" spans="2:7" s="10" customFormat="1" x14ac:dyDescent="0.3">
      <c r="C51" s="4"/>
      <c r="D51" s="4"/>
      <c r="E51" s="4" t="s">
        <v>88</v>
      </c>
      <c r="F51" s="44">
        <v>125762</v>
      </c>
    </row>
    <row r="52" spans="2:7" s="10" customFormat="1" x14ac:dyDescent="0.3">
      <c r="C52" s="4"/>
      <c r="D52" s="4"/>
      <c r="E52" s="4" t="s">
        <v>89</v>
      </c>
      <c r="F52" s="44">
        <v>0</v>
      </c>
    </row>
    <row r="53" spans="2:7" s="10" customFormat="1" x14ac:dyDescent="0.3">
      <c r="C53" s="4"/>
      <c r="D53" s="4"/>
      <c r="E53" s="4" t="s">
        <v>90</v>
      </c>
      <c r="F53" s="44">
        <v>0</v>
      </c>
    </row>
    <row r="54" spans="2:7" ht="30.75" customHeight="1" x14ac:dyDescent="0.3">
      <c r="C54" s="4" t="s">
        <v>91</v>
      </c>
      <c r="D54" s="287" t="s">
        <v>92</v>
      </c>
      <c r="E54" s="287"/>
      <c r="F54" s="39">
        <f>SUM(F55+F56+F60+F59)</f>
        <v>37075280</v>
      </c>
    </row>
    <row r="55" spans="2:7" ht="15" customHeight="1" x14ac:dyDescent="0.3">
      <c r="D55" s="46"/>
      <c r="E55" s="46" t="s">
        <v>93</v>
      </c>
      <c r="F55" s="47">
        <v>4479000</v>
      </c>
    </row>
    <row r="56" spans="2:7" ht="15" customHeight="1" x14ac:dyDescent="0.3">
      <c r="D56" s="46"/>
      <c r="E56" s="46" t="s">
        <v>94</v>
      </c>
      <c r="F56" s="47">
        <f>SUM(F57:F58)</f>
        <v>29638280</v>
      </c>
      <c r="G56" s="27"/>
    </row>
    <row r="57" spans="2:7" ht="15" customHeight="1" x14ac:dyDescent="0.3">
      <c r="D57" s="46"/>
      <c r="E57" s="46" t="s">
        <v>95</v>
      </c>
      <c r="F57" s="48">
        <v>29638280</v>
      </c>
    </row>
    <row r="58" spans="2:7" ht="15" customHeight="1" x14ac:dyDescent="0.3">
      <c r="D58" s="46"/>
      <c r="E58" s="46" t="s">
        <v>96</v>
      </c>
      <c r="F58" s="48">
        <v>0</v>
      </c>
    </row>
    <row r="59" spans="2:7" ht="15" customHeight="1" x14ac:dyDescent="0.3">
      <c r="D59" s="46"/>
      <c r="E59" s="46" t="s">
        <v>97</v>
      </c>
      <c r="F59" s="47">
        <v>0</v>
      </c>
    </row>
    <row r="60" spans="2:7" ht="15" customHeight="1" x14ac:dyDescent="0.3">
      <c r="D60" s="46"/>
      <c r="E60" s="46" t="s">
        <v>98</v>
      </c>
      <c r="F60" s="47">
        <v>2958000</v>
      </c>
    </row>
    <row r="61" spans="2:7" x14ac:dyDescent="0.3">
      <c r="C61" s="4" t="s">
        <v>99</v>
      </c>
      <c r="D61" s="4" t="s">
        <v>100</v>
      </c>
      <c r="F61" s="45">
        <v>2270000</v>
      </c>
    </row>
    <row r="62" spans="2:7" x14ac:dyDescent="0.3">
      <c r="C62" s="4" t="s">
        <v>101</v>
      </c>
      <c r="D62" s="4" t="s">
        <v>102</v>
      </c>
      <c r="F62" s="35">
        <v>0</v>
      </c>
    </row>
    <row r="63" spans="2:7" x14ac:dyDescent="0.3">
      <c r="B63" s="4" t="s">
        <v>103</v>
      </c>
      <c r="D63" s="4" t="s">
        <v>104</v>
      </c>
      <c r="F63" s="45">
        <f>F64</f>
        <v>5517297</v>
      </c>
      <c r="G63" s="38"/>
    </row>
    <row r="64" spans="2:7" x14ac:dyDescent="0.3">
      <c r="E64" s="4" t="s">
        <v>105</v>
      </c>
      <c r="F64" s="44">
        <v>5517297</v>
      </c>
    </row>
    <row r="65" spans="1:8" s="10" customFormat="1" ht="30.75" customHeight="1" x14ac:dyDescent="0.3">
      <c r="A65" s="42" t="s">
        <v>106</v>
      </c>
      <c r="B65" s="42"/>
      <c r="C65" s="42"/>
      <c r="D65" s="42"/>
      <c r="E65" s="42"/>
      <c r="F65" s="49">
        <f>SUM(F66)</f>
        <v>3900000</v>
      </c>
      <c r="H65" s="10" t="s">
        <v>107</v>
      </c>
    </row>
    <row r="66" spans="1:8" s="10" customFormat="1" x14ac:dyDescent="0.3">
      <c r="A66" s="10" t="s">
        <v>16</v>
      </c>
      <c r="B66" s="10" t="s">
        <v>17</v>
      </c>
      <c r="E66" s="14"/>
      <c r="F66" s="39">
        <f>SUM(F67)</f>
        <v>3900000</v>
      </c>
    </row>
    <row r="67" spans="1:8" x14ac:dyDescent="0.3">
      <c r="C67" s="4" t="s">
        <v>108</v>
      </c>
      <c r="D67" s="4" t="s">
        <v>109</v>
      </c>
      <c r="E67" s="12"/>
      <c r="F67" s="36">
        <v>3900000</v>
      </c>
    </row>
    <row r="68" spans="1:8" ht="30.6" customHeight="1" x14ac:dyDescent="0.3">
      <c r="A68" s="285" t="s">
        <v>110</v>
      </c>
      <c r="B68" s="285"/>
      <c r="C68" s="285"/>
      <c r="D68" s="285"/>
      <c r="E68" s="285"/>
      <c r="F68" s="37">
        <f>F69</f>
        <v>0</v>
      </c>
    </row>
    <row r="69" spans="1:8" x14ac:dyDescent="0.3">
      <c r="A69" s="10" t="s">
        <v>14</v>
      </c>
      <c r="B69" s="10" t="s">
        <v>15</v>
      </c>
      <c r="C69" s="10"/>
      <c r="D69" s="10"/>
      <c r="E69" s="10"/>
      <c r="F69" s="34">
        <f>F70</f>
        <v>0</v>
      </c>
    </row>
    <row r="70" spans="1:8" x14ac:dyDescent="0.3">
      <c r="B70" s="4" t="s">
        <v>111</v>
      </c>
      <c r="D70" s="4" t="s">
        <v>112</v>
      </c>
      <c r="F70" s="44">
        <f>F71</f>
        <v>0</v>
      </c>
    </row>
    <row r="71" spans="1:8" x14ac:dyDescent="0.3">
      <c r="C71" s="4" t="s">
        <v>113</v>
      </c>
      <c r="D71" s="4" t="s">
        <v>114</v>
      </c>
      <c r="F71" s="35">
        <v>0</v>
      </c>
    </row>
    <row r="72" spans="1:8" ht="30.6" customHeight="1" x14ac:dyDescent="0.3">
      <c r="A72" s="285" t="s">
        <v>115</v>
      </c>
      <c r="B72" s="285"/>
      <c r="C72" s="285"/>
      <c r="D72" s="285"/>
      <c r="E72" s="285"/>
      <c r="F72" s="37">
        <f>SUM(F79+F75+F73)</f>
        <v>200000</v>
      </c>
    </row>
    <row r="73" spans="1:8" x14ac:dyDescent="0.3">
      <c r="A73" s="10" t="s">
        <v>14</v>
      </c>
      <c r="B73" s="10" t="s">
        <v>15</v>
      </c>
      <c r="C73" s="10"/>
      <c r="D73" s="10"/>
      <c r="E73" s="10"/>
      <c r="F73" s="34">
        <v>0</v>
      </c>
    </row>
    <row r="74" spans="1:8" x14ac:dyDescent="0.3">
      <c r="B74" s="4" t="s">
        <v>116</v>
      </c>
      <c r="D74" s="4" t="s">
        <v>112</v>
      </c>
      <c r="F74" s="35">
        <v>0</v>
      </c>
    </row>
    <row r="75" spans="1:8" x14ac:dyDescent="0.3">
      <c r="A75" s="10" t="s">
        <v>9</v>
      </c>
      <c r="B75" s="10" t="s">
        <v>10</v>
      </c>
      <c r="C75" s="10"/>
      <c r="D75" s="10"/>
      <c r="E75" s="10"/>
      <c r="F75" s="34">
        <f>SUM(F76:F78)</f>
        <v>150000</v>
      </c>
    </row>
    <row r="76" spans="1:8" s="10" customFormat="1" ht="19.2" customHeight="1" x14ac:dyDescent="0.3">
      <c r="C76" s="4" t="s">
        <v>117</v>
      </c>
      <c r="D76" s="4" t="s">
        <v>118</v>
      </c>
      <c r="E76" s="4"/>
      <c r="F76" s="45">
        <v>50000</v>
      </c>
    </row>
    <row r="77" spans="1:8" s="10" customFormat="1" ht="16.8" customHeight="1" x14ac:dyDescent="0.3">
      <c r="C77" s="4" t="s">
        <v>40</v>
      </c>
      <c r="D77" s="4" t="s">
        <v>41</v>
      </c>
      <c r="E77" s="4"/>
      <c r="F77" s="45">
        <v>50000</v>
      </c>
    </row>
    <row r="78" spans="1:8" s="10" customFormat="1" x14ac:dyDescent="0.3">
      <c r="A78" s="4"/>
      <c r="B78" s="4"/>
      <c r="C78" s="4" t="s">
        <v>46</v>
      </c>
      <c r="D78" s="4" t="s">
        <v>47</v>
      </c>
      <c r="E78" s="4"/>
      <c r="F78" s="35">
        <v>50000</v>
      </c>
    </row>
    <row r="79" spans="1:8" x14ac:dyDescent="0.3">
      <c r="A79" s="10" t="s">
        <v>11</v>
      </c>
      <c r="B79" s="10" t="s">
        <v>12</v>
      </c>
      <c r="C79" s="10"/>
      <c r="D79" s="10"/>
      <c r="E79" s="10"/>
      <c r="F79" s="39">
        <f>F80</f>
        <v>50000</v>
      </c>
    </row>
    <row r="80" spans="1:8" ht="15.6" customHeight="1" x14ac:dyDescent="0.3">
      <c r="B80" s="4" t="s">
        <v>48</v>
      </c>
      <c r="D80" s="4" t="s">
        <v>49</v>
      </c>
      <c r="F80" s="35">
        <v>50000</v>
      </c>
    </row>
    <row r="81" spans="1:9" s="10" customFormat="1" ht="30.6" customHeight="1" x14ac:dyDescent="0.3">
      <c r="A81" s="42" t="s">
        <v>119</v>
      </c>
      <c r="B81" s="32"/>
      <c r="C81" s="32"/>
      <c r="D81" s="32"/>
      <c r="E81" s="32"/>
      <c r="F81" s="37">
        <f>SUM(F82)</f>
        <v>2035800</v>
      </c>
    </row>
    <row r="82" spans="1:9" x14ac:dyDescent="0.3">
      <c r="A82" s="14" t="s">
        <v>5</v>
      </c>
      <c r="B82" s="10" t="s">
        <v>6</v>
      </c>
      <c r="C82" s="14"/>
      <c r="D82" s="50"/>
      <c r="E82" s="39"/>
      <c r="F82" s="34">
        <f>SUM(F83)</f>
        <v>2035800</v>
      </c>
    </row>
    <row r="83" spans="1:9" ht="15" customHeight="1" x14ac:dyDescent="0.3">
      <c r="A83" s="14"/>
      <c r="B83" s="12" t="s">
        <v>103</v>
      </c>
      <c r="D83" s="4" t="s">
        <v>104</v>
      </c>
      <c r="E83" s="44"/>
      <c r="F83" s="35">
        <v>2035800</v>
      </c>
    </row>
    <row r="84" spans="1:9" ht="30.6" customHeight="1" x14ac:dyDescent="0.3">
      <c r="A84" s="285" t="s">
        <v>120</v>
      </c>
      <c r="B84" s="285"/>
      <c r="C84" s="285"/>
      <c r="D84" s="285"/>
      <c r="E84" s="285"/>
      <c r="F84" s="37">
        <f>SUM(F85)</f>
        <v>100000</v>
      </c>
    </row>
    <row r="85" spans="1:9" ht="15.6" customHeight="1" x14ac:dyDescent="0.3">
      <c r="A85" s="10" t="s">
        <v>9</v>
      </c>
      <c r="B85" s="10" t="s">
        <v>10</v>
      </c>
      <c r="C85" s="10"/>
      <c r="D85" s="10"/>
      <c r="E85" s="10"/>
      <c r="F85" s="34">
        <f>SUM(F86)</f>
        <v>100000</v>
      </c>
    </row>
    <row r="86" spans="1:9" ht="15.6" customHeight="1" x14ac:dyDescent="0.3">
      <c r="C86" s="4" t="s">
        <v>40</v>
      </c>
      <c r="D86" s="4" t="s">
        <v>41</v>
      </c>
      <c r="F86" s="35">
        <v>100000</v>
      </c>
    </row>
    <row r="87" spans="1:9" s="51" customFormat="1" ht="20.399999999999999" customHeight="1" x14ac:dyDescent="0.3">
      <c r="A87" s="42" t="s">
        <v>121</v>
      </c>
      <c r="B87" s="42"/>
      <c r="C87" s="42"/>
      <c r="D87" s="42"/>
      <c r="E87" s="42"/>
      <c r="F87" s="43">
        <f>SUM(F8+F12+F19+F24+F41+F68+F72+F81+F84+F38+F65)</f>
        <v>106811557</v>
      </c>
      <c r="I87" s="52"/>
    </row>
    <row r="88" spans="1:9" s="51" customFormat="1" x14ac:dyDescent="0.3">
      <c r="A88" s="53" t="s">
        <v>5</v>
      </c>
      <c r="B88" s="54" t="s">
        <v>6</v>
      </c>
      <c r="C88" s="53"/>
      <c r="D88" s="55"/>
      <c r="E88" s="56"/>
      <c r="F88" s="57">
        <f>F82+F42</f>
        <v>62770382</v>
      </c>
      <c r="I88" s="52"/>
    </row>
    <row r="89" spans="1:9" s="51" customFormat="1" x14ac:dyDescent="0.3">
      <c r="A89" s="54" t="s">
        <v>14</v>
      </c>
      <c r="B89" s="54" t="s">
        <v>15</v>
      </c>
      <c r="C89" s="54"/>
      <c r="D89" s="54"/>
      <c r="E89" s="54"/>
      <c r="F89" s="57">
        <f>F69</f>
        <v>0</v>
      </c>
      <c r="I89" s="52"/>
    </row>
    <row r="90" spans="1:9" s="54" customFormat="1" x14ac:dyDescent="0.3">
      <c r="A90" s="54" t="s">
        <v>7</v>
      </c>
      <c r="B90" s="58" t="s">
        <v>8</v>
      </c>
      <c r="C90" s="58"/>
      <c r="D90" s="58"/>
      <c r="E90" s="58"/>
      <c r="F90" s="57">
        <f>F25</f>
        <v>5900000</v>
      </c>
      <c r="G90" s="59"/>
      <c r="I90" s="60"/>
    </row>
    <row r="91" spans="1:9" x14ac:dyDescent="0.3">
      <c r="A91" s="54" t="s">
        <v>9</v>
      </c>
      <c r="B91" s="58" t="s">
        <v>10</v>
      </c>
      <c r="C91" s="58"/>
      <c r="D91" s="58"/>
      <c r="E91" s="58"/>
      <c r="F91" s="57">
        <f>F9+F13+F39+F75+F85</f>
        <v>1011000</v>
      </c>
    </row>
    <row r="92" spans="1:9" x14ac:dyDescent="0.3">
      <c r="A92" s="54" t="s">
        <v>11</v>
      </c>
      <c r="B92" s="54" t="s">
        <v>12</v>
      </c>
      <c r="C92" s="54"/>
      <c r="D92" s="54"/>
      <c r="E92" s="54"/>
      <c r="F92" s="57">
        <f>F18+F79</f>
        <v>55000</v>
      </c>
    </row>
    <row r="93" spans="1:9" x14ac:dyDescent="0.3">
      <c r="A93" s="54" t="s">
        <v>16</v>
      </c>
      <c r="B93" s="54" t="s">
        <v>17</v>
      </c>
      <c r="C93" s="54"/>
      <c r="D93" s="54"/>
      <c r="E93" s="53"/>
      <c r="F93" s="61">
        <f>F66+F21</f>
        <v>37075175</v>
      </c>
    </row>
    <row r="94" spans="1:9" ht="20.399999999999999" customHeight="1" x14ac:dyDescent="0.3">
      <c r="A94" s="62" t="s">
        <v>121</v>
      </c>
      <c r="B94" s="63"/>
      <c r="C94" s="63"/>
      <c r="D94" s="63"/>
      <c r="E94" s="63"/>
      <c r="F94" s="64">
        <f>SUM(F88:F93)</f>
        <v>106811557</v>
      </c>
    </row>
    <row r="95" spans="1:9" x14ac:dyDescent="0.3">
      <c r="E95" s="5"/>
      <c r="F95" s="212"/>
    </row>
    <row r="96" spans="1:9" x14ac:dyDescent="0.3">
      <c r="E96" s="5"/>
      <c r="F96" s="3"/>
    </row>
    <row r="97" spans="5:6" x14ac:dyDescent="0.3">
      <c r="E97" s="5"/>
      <c r="F97" s="65"/>
    </row>
  </sheetData>
  <sheetProtection selectLockedCells="1" selectUnlockedCells="1"/>
  <mergeCells count="12">
    <mergeCell ref="A1:F1"/>
    <mergeCell ref="A2:F2"/>
    <mergeCell ref="A3:F3"/>
    <mergeCell ref="A4:F4"/>
    <mergeCell ref="A5:E5"/>
    <mergeCell ref="A72:E72"/>
    <mergeCell ref="A84:E84"/>
    <mergeCell ref="A6:E7"/>
    <mergeCell ref="A12:E12"/>
    <mergeCell ref="A19:E19"/>
    <mergeCell ref="D54:E54"/>
    <mergeCell ref="A68:E68"/>
  </mergeCells>
  <printOptions headings="1" gridLines="1"/>
  <pageMargins left="0.70833333333333337" right="0.70833333333333337" top="0.55138888888888893" bottom="0.55138888888888893" header="0.51180555555555551" footer="0.51180555555555551"/>
  <pageSetup paperSize="9" scale="68" firstPageNumber="0" orientation="portrait" horizontalDpi="300" verticalDpi="300" r:id="rId1"/>
  <headerFooter alignWithMargins="0"/>
  <rowBreaks count="1" manualBreakCount="1">
    <brk id="6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7"/>
  <sheetViews>
    <sheetView topLeftCell="A49" zoomScale="120" zoomScaleNormal="120" zoomScaleSheetLayoutView="120" workbookViewId="0">
      <selection activeCell="E46" sqref="E46"/>
    </sheetView>
  </sheetViews>
  <sheetFormatPr defaultColWidth="9.109375" defaultRowHeight="13.2" x14ac:dyDescent="0.25"/>
  <cols>
    <col min="1" max="1" width="3.88671875" style="1" customWidth="1"/>
    <col min="2" max="2" width="4.5546875" style="1" customWidth="1"/>
    <col min="3" max="3" width="5.88671875" style="1" customWidth="1"/>
    <col min="4" max="4" width="4.6640625" style="1" customWidth="1"/>
    <col min="5" max="5" width="65.6640625" style="1" customWidth="1"/>
    <col min="6" max="6" width="18.21875" style="1" customWidth="1"/>
    <col min="7" max="7" width="14.6640625" style="1" customWidth="1"/>
    <col min="8" max="16384" width="9.109375" style="1"/>
  </cols>
  <sheetData>
    <row r="1" spans="1:8" ht="15.6" x14ac:dyDescent="0.3">
      <c r="A1" s="288" t="s">
        <v>308</v>
      </c>
      <c r="B1" s="288"/>
      <c r="C1" s="288"/>
      <c r="D1" s="288"/>
      <c r="E1" s="288"/>
      <c r="F1" s="288"/>
    </row>
    <row r="2" spans="1:8" s="28" customFormat="1" ht="16.5" customHeight="1" x14ac:dyDescent="0.3">
      <c r="A2" s="288"/>
      <c r="B2" s="288"/>
      <c r="C2" s="288"/>
      <c r="D2" s="288"/>
      <c r="E2" s="288"/>
      <c r="F2" s="288"/>
    </row>
    <row r="3" spans="1:8" s="4" customFormat="1" ht="23.25" customHeight="1" x14ac:dyDescent="0.3">
      <c r="A3" s="283" t="s">
        <v>0</v>
      </c>
      <c r="B3" s="283"/>
      <c r="C3" s="283"/>
      <c r="D3" s="283"/>
      <c r="E3" s="283"/>
      <c r="F3" s="29"/>
    </row>
    <row r="4" spans="1:8" s="4" customFormat="1" ht="20.25" customHeight="1" x14ac:dyDescent="0.3">
      <c r="A4" s="283" t="s">
        <v>307</v>
      </c>
      <c r="B4" s="283"/>
      <c r="C4" s="283"/>
      <c r="D4" s="283"/>
      <c r="E4" s="283"/>
      <c r="F4" s="29"/>
    </row>
    <row r="5" spans="1:8" s="4" customFormat="1" ht="15.6" x14ac:dyDescent="0.3">
      <c r="A5" s="289" t="s">
        <v>122</v>
      </c>
      <c r="B5" s="289"/>
      <c r="C5" s="289"/>
      <c r="D5" s="289"/>
      <c r="E5" s="289"/>
      <c r="F5" s="29"/>
    </row>
    <row r="6" spans="1:8" s="7" customFormat="1" ht="15.6" x14ac:dyDescent="0.3">
      <c r="A6" s="66"/>
      <c r="B6" s="66"/>
      <c r="C6" s="66"/>
      <c r="D6" s="66"/>
      <c r="E6" s="66"/>
      <c r="F6" s="67"/>
    </row>
    <row r="7" spans="1:8" s="4" customFormat="1" ht="31.5" customHeight="1" x14ac:dyDescent="0.3">
      <c r="A7" s="290" t="s">
        <v>123</v>
      </c>
      <c r="B7" s="290"/>
      <c r="C7" s="290"/>
      <c r="D7" s="290"/>
      <c r="E7" s="290"/>
      <c r="F7" s="68" t="s">
        <v>124</v>
      </c>
    </row>
    <row r="8" spans="1:8" s="10" customFormat="1" ht="27" customHeight="1" x14ac:dyDescent="0.3">
      <c r="A8" s="290"/>
      <c r="B8" s="290"/>
      <c r="C8" s="290"/>
      <c r="D8" s="290"/>
      <c r="E8" s="290"/>
      <c r="F8" s="68" t="s">
        <v>3</v>
      </c>
    </row>
    <row r="9" spans="1:8" s="4" customFormat="1" ht="18" customHeight="1" x14ac:dyDescent="0.3">
      <c r="A9" s="10" t="s">
        <v>5</v>
      </c>
      <c r="B9" s="10" t="s">
        <v>6</v>
      </c>
      <c r="C9" s="10"/>
      <c r="D9" s="10"/>
      <c r="E9" s="10"/>
      <c r="F9" s="69">
        <f>F10+F26</f>
        <v>62770382</v>
      </c>
      <c r="G9" s="70"/>
      <c r="H9" s="71"/>
    </row>
    <row r="10" spans="1:8" s="4" customFormat="1" ht="15.6" x14ac:dyDescent="0.3">
      <c r="B10" s="4" t="s">
        <v>78</v>
      </c>
      <c r="D10" s="4" t="s">
        <v>79</v>
      </c>
      <c r="F10" s="72">
        <f>SUM(F11+F17+F24+F25)</f>
        <v>55217285</v>
      </c>
      <c r="G10" s="5"/>
      <c r="H10" s="29"/>
    </row>
    <row r="11" spans="1:8" s="10" customFormat="1" ht="15.6" x14ac:dyDescent="0.3">
      <c r="C11" s="4" t="s">
        <v>80</v>
      </c>
      <c r="D11" s="4" t="s">
        <v>81</v>
      </c>
      <c r="E11" s="4"/>
      <c r="F11" s="73">
        <f>SUM(F12:F16)</f>
        <v>15872005</v>
      </c>
      <c r="H11" s="41"/>
    </row>
    <row r="12" spans="1:8" s="10" customFormat="1" ht="15.6" x14ac:dyDescent="0.3">
      <c r="C12" s="4"/>
      <c r="D12" s="4"/>
      <c r="E12" s="4" t="s">
        <v>82</v>
      </c>
      <c r="F12" s="74">
        <f>'2.bevétel'!F45</f>
        <v>7042973</v>
      </c>
      <c r="H12" s="41"/>
    </row>
    <row r="13" spans="1:8" s="10" customFormat="1" ht="15.6" x14ac:dyDescent="0.3">
      <c r="C13" s="4"/>
      <c r="D13" s="4"/>
      <c r="E13" s="4" t="s">
        <v>87</v>
      </c>
      <c r="F13" s="74">
        <f>'2.bevétel'!F50</f>
        <v>8703270</v>
      </c>
      <c r="H13" s="41"/>
    </row>
    <row r="14" spans="1:8" s="10" customFormat="1" ht="15.6" x14ac:dyDescent="0.3">
      <c r="C14" s="4"/>
      <c r="D14" s="4"/>
      <c r="E14" s="4" t="s">
        <v>88</v>
      </c>
      <c r="F14" s="74">
        <f>'2.bevétel'!F51</f>
        <v>125762</v>
      </c>
      <c r="H14" s="41"/>
    </row>
    <row r="15" spans="1:8" s="10" customFormat="1" ht="15.6" x14ac:dyDescent="0.3">
      <c r="C15" s="4"/>
      <c r="D15" s="4"/>
      <c r="E15" s="4" t="s">
        <v>89</v>
      </c>
      <c r="F15" s="74">
        <f>'2.bevétel'!F52</f>
        <v>0</v>
      </c>
      <c r="H15" s="41"/>
    </row>
    <row r="16" spans="1:8" s="10" customFormat="1" ht="15.6" x14ac:dyDescent="0.3">
      <c r="C16" s="4"/>
      <c r="D16" s="4"/>
      <c r="E16" s="4" t="s">
        <v>90</v>
      </c>
      <c r="F16" s="74">
        <f>'2.bevétel'!F53</f>
        <v>0</v>
      </c>
      <c r="H16" s="41"/>
    </row>
    <row r="17" spans="1:14" s="4" customFormat="1" ht="30.75" customHeight="1" x14ac:dyDescent="0.3">
      <c r="C17" s="4" t="s">
        <v>91</v>
      </c>
      <c r="D17" s="287" t="s">
        <v>92</v>
      </c>
      <c r="E17" s="287"/>
      <c r="F17" s="73">
        <f>SUM(F18+F19+F23+F22)</f>
        <v>37075280</v>
      </c>
      <c r="G17" s="38"/>
      <c r="H17" s="29"/>
    </row>
    <row r="18" spans="1:14" s="4" customFormat="1" ht="15" customHeight="1" x14ac:dyDescent="0.3">
      <c r="D18" s="46"/>
      <c r="E18" s="46" t="s">
        <v>93</v>
      </c>
      <c r="F18" s="75">
        <f>'2.bevétel'!F55</f>
        <v>4479000</v>
      </c>
      <c r="G18" s="38"/>
      <c r="H18" s="29"/>
    </row>
    <row r="19" spans="1:14" s="4" customFormat="1" ht="15" customHeight="1" x14ac:dyDescent="0.3">
      <c r="D19" s="46"/>
      <c r="E19" s="46" t="s">
        <v>94</v>
      </c>
      <c r="F19" s="75">
        <f>SUM(F20:F21)</f>
        <v>29638280</v>
      </c>
      <c r="G19" s="38"/>
      <c r="H19" s="29"/>
    </row>
    <row r="20" spans="1:14" s="4" customFormat="1" ht="15" customHeight="1" x14ac:dyDescent="0.3">
      <c r="D20" s="46"/>
      <c r="E20" s="46" t="s">
        <v>95</v>
      </c>
      <c r="F20" s="75">
        <f>'2.bevétel'!F57</f>
        <v>29638280</v>
      </c>
      <c r="G20" s="38"/>
      <c r="H20" s="29"/>
    </row>
    <row r="21" spans="1:14" s="4" customFormat="1" ht="15" customHeight="1" x14ac:dyDescent="0.3">
      <c r="D21" s="46"/>
      <c r="E21" s="46" t="s">
        <v>96</v>
      </c>
      <c r="F21" s="75">
        <f>'2.bevétel'!F58</f>
        <v>0</v>
      </c>
      <c r="G21" s="38"/>
      <c r="H21" s="29"/>
    </row>
    <row r="22" spans="1:14" s="4" customFormat="1" ht="15" customHeight="1" x14ac:dyDescent="0.3">
      <c r="D22" s="46"/>
      <c r="E22" s="46" t="s">
        <v>126</v>
      </c>
      <c r="F22" s="75">
        <f>'2.bevétel'!F59</f>
        <v>0</v>
      </c>
      <c r="G22" s="38"/>
      <c r="H22" s="29"/>
    </row>
    <row r="23" spans="1:14" s="4" customFormat="1" ht="15" customHeight="1" x14ac:dyDescent="0.3">
      <c r="D23" s="46"/>
      <c r="E23" s="46" t="s">
        <v>98</v>
      </c>
      <c r="F23" s="75">
        <f>'2.bevétel'!F60</f>
        <v>2958000</v>
      </c>
      <c r="G23" s="38"/>
      <c r="H23" s="29"/>
    </row>
    <row r="24" spans="1:14" s="4" customFormat="1" ht="15.6" x14ac:dyDescent="0.3">
      <c r="C24" s="4" t="s">
        <v>99</v>
      </c>
      <c r="D24" s="4" t="s">
        <v>100</v>
      </c>
      <c r="F24" s="73">
        <f>'2.bevétel'!F61</f>
        <v>2270000</v>
      </c>
      <c r="G24" s="38"/>
      <c r="H24" s="29"/>
    </row>
    <row r="25" spans="1:14" s="4" customFormat="1" ht="15.6" x14ac:dyDescent="0.3">
      <c r="C25" s="4" t="s">
        <v>101</v>
      </c>
      <c r="D25" s="4" t="s">
        <v>102</v>
      </c>
      <c r="F25" s="73">
        <f>'2.bevétel'!F62</f>
        <v>0</v>
      </c>
      <c r="G25" s="38"/>
      <c r="H25" s="29"/>
    </row>
    <row r="26" spans="1:14" s="4" customFormat="1" ht="15.6" x14ac:dyDescent="0.3">
      <c r="A26" s="14"/>
      <c r="B26" s="12" t="s">
        <v>103</v>
      </c>
      <c r="D26" s="4" t="s">
        <v>127</v>
      </c>
      <c r="E26" s="44"/>
      <c r="F26" s="73">
        <f>SUM(F27:F28)</f>
        <v>7553097</v>
      </c>
      <c r="N26" s="76"/>
    </row>
    <row r="27" spans="1:14" s="4" customFormat="1" ht="15.6" x14ac:dyDescent="0.3">
      <c r="A27" s="14"/>
      <c r="E27" s="4" t="s">
        <v>105</v>
      </c>
      <c r="F27" s="74">
        <f>'2.bevétel'!F64</f>
        <v>5517297</v>
      </c>
      <c r="N27" s="76"/>
    </row>
    <row r="28" spans="1:14" s="4" customFormat="1" ht="15.6" x14ac:dyDescent="0.3">
      <c r="A28" s="14"/>
      <c r="E28" s="4" t="s">
        <v>105</v>
      </c>
      <c r="F28" s="74">
        <f>'2.bevétel'!F83</f>
        <v>2035800</v>
      </c>
      <c r="N28" s="76"/>
    </row>
    <row r="29" spans="1:14" s="10" customFormat="1" ht="15.6" x14ac:dyDescent="0.3">
      <c r="A29" s="10" t="s">
        <v>14</v>
      </c>
      <c r="B29" s="10" t="s">
        <v>15</v>
      </c>
      <c r="F29" s="77">
        <f>SUM(F30)</f>
        <v>0</v>
      </c>
      <c r="H29" s="41"/>
    </row>
    <row r="30" spans="1:14" s="4" customFormat="1" ht="15.6" x14ac:dyDescent="0.3">
      <c r="B30" s="4" t="s">
        <v>116</v>
      </c>
      <c r="D30" s="4" t="s">
        <v>112</v>
      </c>
      <c r="F30" s="74">
        <f>F31</f>
        <v>0</v>
      </c>
      <c r="H30" s="29"/>
    </row>
    <row r="31" spans="1:14" s="4" customFormat="1" ht="15.6" x14ac:dyDescent="0.3">
      <c r="C31" s="4" t="s">
        <v>113</v>
      </c>
      <c r="D31" s="4" t="s">
        <v>114</v>
      </c>
      <c r="F31" s="74">
        <f>'2.bevétel'!F71</f>
        <v>0</v>
      </c>
      <c r="H31" s="29"/>
    </row>
    <row r="32" spans="1:14" s="10" customFormat="1" ht="15.6" x14ac:dyDescent="0.3">
      <c r="A32" s="10" t="s">
        <v>7</v>
      </c>
      <c r="B32" s="10" t="s">
        <v>8</v>
      </c>
      <c r="F32" s="78">
        <f>SUM(F33+F36+F43)</f>
        <v>5900000</v>
      </c>
      <c r="G32" s="40"/>
      <c r="H32" s="41"/>
    </row>
    <row r="33" spans="1:8" s="4" customFormat="1" ht="15.6" x14ac:dyDescent="0.3">
      <c r="B33" s="4" t="s">
        <v>58</v>
      </c>
      <c r="D33" s="4" t="s">
        <v>59</v>
      </c>
      <c r="F33" s="73">
        <f>SUM(F34:F35)</f>
        <v>4100000</v>
      </c>
      <c r="G33" s="38"/>
      <c r="H33" s="29"/>
    </row>
    <row r="34" spans="1:8" s="4" customFormat="1" ht="15.6" x14ac:dyDescent="0.3">
      <c r="E34" s="4" t="s">
        <v>60</v>
      </c>
      <c r="F34" s="79">
        <f>'2.bevétel'!F27</f>
        <v>2000000</v>
      </c>
      <c r="G34" s="38"/>
      <c r="H34" s="29"/>
    </row>
    <row r="35" spans="1:8" s="4" customFormat="1" ht="15.6" x14ac:dyDescent="0.3">
      <c r="A35" s="10"/>
      <c r="B35" s="10"/>
      <c r="C35" s="10"/>
      <c r="D35" s="10"/>
      <c r="E35" s="4" t="s">
        <v>61</v>
      </c>
      <c r="F35" s="79">
        <f>'2.bevétel'!F28</f>
        <v>2100000</v>
      </c>
      <c r="G35" s="38"/>
      <c r="H35" s="29"/>
    </row>
    <row r="36" spans="1:8" s="4" customFormat="1" ht="15.6" x14ac:dyDescent="0.3">
      <c r="A36" s="10"/>
      <c r="B36" s="4" t="s">
        <v>62</v>
      </c>
      <c r="D36" s="4" t="s">
        <v>63</v>
      </c>
      <c r="F36" s="73">
        <f>SUM(F37+F39+F41)</f>
        <v>1650000</v>
      </c>
      <c r="G36" s="38"/>
      <c r="H36" s="29"/>
    </row>
    <row r="37" spans="1:8" s="4" customFormat="1" ht="15.6" x14ac:dyDescent="0.3">
      <c r="A37" s="10"/>
      <c r="C37" s="4" t="s">
        <v>64</v>
      </c>
      <c r="D37" s="4" t="s">
        <v>65</v>
      </c>
      <c r="F37" s="74">
        <f>SUM(F38)</f>
        <v>1650000</v>
      </c>
      <c r="G37" s="38"/>
      <c r="H37" s="29"/>
    </row>
    <row r="38" spans="1:8" s="4" customFormat="1" ht="15.6" x14ac:dyDescent="0.3">
      <c r="A38" s="10"/>
      <c r="E38" s="4" t="s">
        <v>66</v>
      </c>
      <c r="F38" s="79">
        <f>'2.bevétel'!F31</f>
        <v>1650000</v>
      </c>
      <c r="G38" s="38"/>
      <c r="H38" s="29"/>
    </row>
    <row r="39" spans="1:8" s="4" customFormat="1" ht="15.6" x14ac:dyDescent="0.3">
      <c r="A39" s="10"/>
      <c r="C39" s="4" t="s">
        <v>67</v>
      </c>
      <c r="D39" s="4" t="s">
        <v>68</v>
      </c>
      <c r="F39" s="74">
        <f>SUM(F40)</f>
        <v>0</v>
      </c>
      <c r="G39" s="38"/>
      <c r="H39" s="29"/>
    </row>
    <row r="40" spans="1:8" s="4" customFormat="1" ht="15.6" x14ac:dyDescent="0.3">
      <c r="A40" s="10"/>
      <c r="E40" s="4" t="s">
        <v>69</v>
      </c>
      <c r="F40" s="79">
        <f>'2.bevétel'!F33</f>
        <v>0</v>
      </c>
      <c r="G40" s="38"/>
      <c r="H40" s="29"/>
    </row>
    <row r="41" spans="1:8" s="4" customFormat="1" ht="15.6" x14ac:dyDescent="0.3">
      <c r="A41" s="10"/>
      <c r="C41" s="4" t="s">
        <v>70</v>
      </c>
      <c r="D41" s="4" t="s">
        <v>71</v>
      </c>
      <c r="F41" s="74">
        <f>SUM(F42:F42)</f>
        <v>0</v>
      </c>
      <c r="G41" s="38"/>
      <c r="H41" s="29"/>
    </row>
    <row r="42" spans="1:8" s="4" customFormat="1" ht="15.6" x14ac:dyDescent="0.3">
      <c r="A42" s="10"/>
      <c r="E42" s="4" t="s">
        <v>72</v>
      </c>
      <c r="F42" s="79">
        <f>'2.bevétel'!F35</f>
        <v>0</v>
      </c>
      <c r="G42" s="38"/>
      <c r="H42" s="29"/>
    </row>
    <row r="43" spans="1:8" s="4" customFormat="1" ht="15.6" x14ac:dyDescent="0.3">
      <c r="B43" s="4" t="s">
        <v>73</v>
      </c>
      <c r="D43" s="4" t="s">
        <v>74</v>
      </c>
      <c r="F43" s="74">
        <f>SUM(F44:F44)</f>
        <v>150000</v>
      </c>
      <c r="H43" s="29"/>
    </row>
    <row r="44" spans="1:8" s="4" customFormat="1" ht="15.6" x14ac:dyDescent="0.3">
      <c r="E44" s="4" t="s">
        <v>75</v>
      </c>
      <c r="F44" s="79">
        <f>'2.bevétel'!F37</f>
        <v>150000</v>
      </c>
      <c r="H44" s="29"/>
    </row>
    <row r="45" spans="1:8" s="10" customFormat="1" ht="15.6" x14ac:dyDescent="0.3">
      <c r="A45" s="10" t="s">
        <v>9</v>
      </c>
      <c r="B45" s="10" t="s">
        <v>10</v>
      </c>
      <c r="F45" s="78">
        <f>SUM(F46:F49)</f>
        <v>1011000</v>
      </c>
      <c r="G45" s="40"/>
      <c r="H45" s="41"/>
    </row>
    <row r="46" spans="1:8" s="4" customFormat="1" ht="15.6" x14ac:dyDescent="0.3">
      <c r="C46" s="4" t="s">
        <v>40</v>
      </c>
      <c r="D46" s="4" t="s">
        <v>41</v>
      </c>
      <c r="F46" s="74">
        <f>'2.bevétel'!F10+'2.bevétel'!F14+'2.bevétel'!F40+'2.bevétel'!F77+'2.bevétel'!F86</f>
        <v>900000</v>
      </c>
      <c r="G46" s="38"/>
      <c r="H46" s="29"/>
    </row>
    <row r="47" spans="1:8" s="4" customFormat="1" ht="15.6" x14ac:dyDescent="0.3">
      <c r="C47" s="4" t="s">
        <v>44</v>
      </c>
      <c r="D47" s="4" t="s">
        <v>45</v>
      </c>
      <c r="F47" s="74">
        <f>'2.bevétel'!F15</f>
        <v>1000</v>
      </c>
      <c r="G47" s="38"/>
      <c r="H47" s="29"/>
    </row>
    <row r="48" spans="1:8" s="4" customFormat="1" ht="15.6" x14ac:dyDescent="0.3">
      <c r="C48" s="4" t="s">
        <v>46</v>
      </c>
      <c r="D48" s="4" t="s">
        <v>128</v>
      </c>
      <c r="F48" s="74">
        <f>'2.bevétel'!F16+'2.bevétel'!F78</f>
        <v>60000</v>
      </c>
      <c r="G48" s="38"/>
      <c r="H48" s="29"/>
    </row>
    <row r="49" spans="1:11" s="10" customFormat="1" ht="15.6" x14ac:dyDescent="0.3">
      <c r="C49" s="4" t="s">
        <v>117</v>
      </c>
      <c r="D49" s="4" t="s">
        <v>118</v>
      </c>
      <c r="E49" s="4"/>
      <c r="F49" s="45">
        <f>'2.bevétel'!F76</f>
        <v>50000</v>
      </c>
      <c r="H49" s="40"/>
      <c r="I49" s="40"/>
      <c r="J49" s="40"/>
      <c r="K49" s="41"/>
    </row>
    <row r="50" spans="1:11" s="4" customFormat="1" ht="15.6" x14ac:dyDescent="0.3">
      <c r="A50" s="10" t="s">
        <v>11</v>
      </c>
      <c r="B50" s="10" t="s">
        <v>12</v>
      </c>
      <c r="C50" s="10"/>
      <c r="D50" s="10"/>
      <c r="E50" s="10"/>
      <c r="F50" s="80">
        <f>SUM(F51)</f>
        <v>55000</v>
      </c>
      <c r="H50" s="38"/>
      <c r="I50" s="38"/>
      <c r="J50" s="38"/>
      <c r="K50" s="29"/>
    </row>
    <row r="51" spans="1:11" s="10" customFormat="1" ht="15.6" x14ac:dyDescent="0.3">
      <c r="A51" s="4"/>
      <c r="B51" s="4" t="s">
        <v>48</v>
      </c>
      <c r="C51" s="4"/>
      <c r="D51" s="4" t="s">
        <v>49</v>
      </c>
      <c r="E51" s="4"/>
      <c r="F51" s="74">
        <f>'2.bevétel'!F18+'2.bevétel'!F80</f>
        <v>55000</v>
      </c>
      <c r="H51" s="41"/>
    </row>
    <row r="52" spans="1:11" s="4" customFormat="1" ht="15.6" x14ac:dyDescent="0.3">
      <c r="A52" s="10" t="s">
        <v>16</v>
      </c>
      <c r="B52" s="10" t="s">
        <v>17</v>
      </c>
      <c r="C52" s="10"/>
      <c r="D52" s="10"/>
      <c r="E52" s="14"/>
      <c r="F52" s="80">
        <f>SUM(F53)</f>
        <v>37075175</v>
      </c>
      <c r="G52" s="38"/>
      <c r="H52" s="29"/>
    </row>
    <row r="53" spans="1:11" s="4" customFormat="1" ht="15.6" x14ac:dyDescent="0.3">
      <c r="B53" s="4" t="s">
        <v>51</v>
      </c>
      <c r="D53" s="4" t="s">
        <v>52</v>
      </c>
      <c r="F53" s="74">
        <f>SUM(F54:F55)</f>
        <v>37075175</v>
      </c>
      <c r="G53" s="38"/>
      <c r="H53" s="29"/>
    </row>
    <row r="54" spans="1:11" s="4" customFormat="1" ht="15.6" x14ac:dyDescent="0.3">
      <c r="C54" s="4" t="s">
        <v>53</v>
      </c>
      <c r="E54" s="4" t="s">
        <v>56</v>
      </c>
      <c r="F54" s="74">
        <f>'2.bevétel'!F22</f>
        <v>33175175</v>
      </c>
      <c r="H54" s="29"/>
    </row>
    <row r="55" spans="1:11" s="10" customFormat="1" ht="24.75" customHeight="1" x14ac:dyDescent="0.3">
      <c r="A55" s="4"/>
      <c r="B55" s="4"/>
      <c r="C55" s="4" t="s">
        <v>108</v>
      </c>
      <c r="D55" s="4" t="s">
        <v>109</v>
      </c>
      <c r="E55" s="12"/>
      <c r="F55" s="215">
        <f>'2.bevétel'!F67</f>
        <v>3900000</v>
      </c>
    </row>
    <row r="56" spans="1:11" s="82" customFormat="1" ht="26.4" customHeight="1" x14ac:dyDescent="0.3">
      <c r="A56" s="62" t="s">
        <v>129</v>
      </c>
      <c r="B56" s="63"/>
      <c r="C56" s="63"/>
      <c r="D56" s="63"/>
      <c r="E56" s="63"/>
      <c r="F56" s="214">
        <f>F52+F50+F45+F32+F9+F29</f>
        <v>106811557</v>
      </c>
    </row>
    <row r="57" spans="1:11" s="82" customFormat="1" ht="17.25" customHeight="1" x14ac:dyDescent="0.25">
      <c r="F57" s="83"/>
    </row>
    <row r="58" spans="1:11" s="82" customFormat="1" x14ac:dyDescent="0.25">
      <c r="F58" s="83"/>
    </row>
    <row r="59" spans="1:11" s="82" customFormat="1" x14ac:dyDescent="0.25"/>
    <row r="60" spans="1:11" s="82" customFormat="1" x14ac:dyDescent="0.25"/>
    <row r="61" spans="1:11" s="82" customFormat="1" x14ac:dyDescent="0.25"/>
    <row r="62" spans="1:11" s="82" customFormat="1" x14ac:dyDescent="0.25"/>
    <row r="63" spans="1:11" s="82" customFormat="1" x14ac:dyDescent="0.25"/>
    <row r="64" spans="1:11" s="82" customFormat="1" x14ac:dyDescent="0.25"/>
    <row r="65" spans="1:6" s="82" customFormat="1" x14ac:dyDescent="0.25"/>
    <row r="66" spans="1:6" s="82" customFormat="1" x14ac:dyDescent="0.25"/>
    <row r="67" spans="1:6" x14ac:dyDescent="0.25">
      <c r="A67" s="82"/>
      <c r="B67" s="82"/>
      <c r="C67" s="82"/>
      <c r="D67" s="82"/>
      <c r="E67" s="82"/>
      <c r="F67" s="82"/>
    </row>
  </sheetData>
  <sheetProtection selectLockedCells="1" selectUnlockedCells="1"/>
  <mergeCells count="7">
    <mergeCell ref="D17:E17"/>
    <mergeCell ref="A1:F1"/>
    <mergeCell ref="A2:F2"/>
    <mergeCell ref="A3:E3"/>
    <mergeCell ref="A4:E4"/>
    <mergeCell ref="A5:E5"/>
    <mergeCell ref="A7:E8"/>
  </mergeCells>
  <printOptions headings="1" gridLines="1"/>
  <pageMargins left="0.74791666666666667" right="0.74791666666666667" top="0.98402777777777772" bottom="0.98402777777777772" header="0.51180555555555551" footer="0.51180555555555551"/>
  <pageSetup paperSize="9" scale="73"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view="pageBreakPreview" topLeftCell="A10" zoomScale="120" zoomScaleNormal="120" zoomScaleSheetLayoutView="120" workbookViewId="0">
      <selection activeCell="E20" sqref="E20:E21"/>
    </sheetView>
  </sheetViews>
  <sheetFormatPr defaultColWidth="9.109375" defaultRowHeight="13.2" x14ac:dyDescent="0.25"/>
  <cols>
    <col min="1" max="1" width="90.44140625" style="84" customWidth="1"/>
    <col min="2" max="2" width="14.5546875" style="84" customWidth="1"/>
    <col min="3" max="3" width="13.6640625" style="84" customWidth="1"/>
    <col min="4" max="4" width="15.5546875" style="84" customWidth="1"/>
    <col min="5" max="5" width="14.5546875" style="84" customWidth="1"/>
    <col min="6" max="16384" width="9.109375" style="84"/>
  </cols>
  <sheetData>
    <row r="1" spans="1:5" ht="15.6" x14ac:dyDescent="0.3">
      <c r="A1" s="291" t="s">
        <v>310</v>
      </c>
      <c r="B1" s="291"/>
      <c r="C1" s="291"/>
      <c r="D1" s="291"/>
      <c r="E1" s="291"/>
    </row>
    <row r="2" spans="1:5" s="85" customFormat="1" ht="15.6" x14ac:dyDescent="0.3">
      <c r="A2" s="291"/>
      <c r="B2" s="291"/>
      <c r="C2" s="291"/>
      <c r="D2" s="291"/>
      <c r="E2" s="291"/>
    </row>
    <row r="3" spans="1:5" s="85" customFormat="1" ht="24" customHeight="1" x14ac:dyDescent="0.3">
      <c r="A3" s="292" t="s">
        <v>0</v>
      </c>
      <c r="B3" s="292"/>
      <c r="C3" s="292"/>
      <c r="D3" s="292"/>
      <c r="E3" s="292"/>
    </row>
    <row r="4" spans="1:5" s="85" customFormat="1" ht="23.25" customHeight="1" x14ac:dyDescent="0.3">
      <c r="A4" s="292" t="s">
        <v>309</v>
      </c>
      <c r="B4" s="292"/>
      <c r="C4" s="292"/>
      <c r="D4" s="292"/>
      <c r="E4" s="292"/>
    </row>
    <row r="5" spans="1:5" s="87" customFormat="1" ht="14.25" customHeight="1" x14ac:dyDescent="0.3">
      <c r="A5" s="86"/>
      <c r="B5" s="86"/>
      <c r="C5" s="86"/>
      <c r="D5" s="86"/>
      <c r="E5" s="86"/>
    </row>
    <row r="6" spans="1:5" s="85" customFormat="1" ht="46.95" customHeight="1" x14ac:dyDescent="0.25">
      <c r="A6" s="88" t="s">
        <v>130</v>
      </c>
      <c r="B6" s="89" t="s">
        <v>131</v>
      </c>
      <c r="C6" s="89" t="s">
        <v>132</v>
      </c>
      <c r="D6" s="89" t="s">
        <v>133</v>
      </c>
      <c r="E6" s="89" t="s">
        <v>134</v>
      </c>
    </row>
    <row r="7" spans="1:5" s="85" customFormat="1" ht="15.6" x14ac:dyDescent="0.3">
      <c r="A7" s="90" t="s">
        <v>39</v>
      </c>
      <c r="B7" s="91">
        <f>'2.bevétel'!F8</f>
        <v>600000</v>
      </c>
      <c r="C7" s="92">
        <v>0</v>
      </c>
      <c r="D7" s="92">
        <v>0</v>
      </c>
      <c r="E7" s="93">
        <f t="shared" ref="E7:E18" si="0">SUM(B7:D7)</f>
        <v>600000</v>
      </c>
    </row>
    <row r="8" spans="1:5" s="85" customFormat="1" ht="15.6" x14ac:dyDescent="0.3">
      <c r="A8" s="94" t="s">
        <v>135</v>
      </c>
      <c r="B8" s="93">
        <f>'2.bevétel'!F12</f>
        <v>66000</v>
      </c>
      <c r="C8" s="93">
        <v>0</v>
      </c>
      <c r="D8" s="93">
        <v>0</v>
      </c>
      <c r="E8" s="93">
        <f t="shared" si="0"/>
        <v>66000</v>
      </c>
    </row>
    <row r="9" spans="1:5" s="85" customFormat="1" ht="15.6" x14ac:dyDescent="0.3">
      <c r="A9" s="90" t="s">
        <v>50</v>
      </c>
      <c r="B9" s="93">
        <f>'2.bevétel'!F19</f>
        <v>33175175</v>
      </c>
      <c r="C9" s="279">
        <f>'11.Idősek Otthona bevétel'!F28</f>
        <v>2849744</v>
      </c>
      <c r="D9" s="93">
        <v>0</v>
      </c>
      <c r="E9" s="93">
        <f t="shared" si="0"/>
        <v>36024919</v>
      </c>
    </row>
    <row r="10" spans="1:5" s="85" customFormat="1" ht="15.6" x14ac:dyDescent="0.3">
      <c r="A10" s="90" t="s">
        <v>57</v>
      </c>
      <c r="B10" s="93">
        <f>'2.bevétel'!F24</f>
        <v>5900000</v>
      </c>
      <c r="C10" s="93">
        <v>0</v>
      </c>
      <c r="D10" s="93">
        <v>0</v>
      </c>
      <c r="E10" s="93">
        <f t="shared" si="0"/>
        <v>5900000</v>
      </c>
    </row>
    <row r="11" spans="1:5" s="85" customFormat="1" ht="15.6" x14ac:dyDescent="0.3">
      <c r="A11" s="90" t="s">
        <v>76</v>
      </c>
      <c r="B11" s="93">
        <f>'2.bevétel'!F38</f>
        <v>100000</v>
      </c>
      <c r="C11" s="93">
        <v>0</v>
      </c>
      <c r="D11" s="93">
        <v>0</v>
      </c>
      <c r="E11" s="93">
        <f t="shared" si="0"/>
        <v>100000</v>
      </c>
    </row>
    <row r="12" spans="1:5" s="85" customFormat="1" ht="15.6" x14ac:dyDescent="0.3">
      <c r="A12" s="94" t="s">
        <v>136</v>
      </c>
      <c r="B12" s="93">
        <f>'2.bevétel'!F72</f>
        <v>200000</v>
      </c>
      <c r="C12" s="93">
        <v>0</v>
      </c>
      <c r="D12" s="93">
        <v>0</v>
      </c>
      <c r="E12" s="93">
        <f t="shared" si="0"/>
        <v>200000</v>
      </c>
    </row>
    <row r="13" spans="1:5" s="85" customFormat="1" ht="15.6" x14ac:dyDescent="0.3">
      <c r="A13" s="90" t="s">
        <v>77</v>
      </c>
      <c r="B13" s="93">
        <f>'2.bevétel'!F41</f>
        <v>60734582</v>
      </c>
      <c r="C13" s="93">
        <v>0</v>
      </c>
      <c r="D13" s="93">
        <v>0</v>
      </c>
      <c r="E13" s="93">
        <f t="shared" si="0"/>
        <v>60734582</v>
      </c>
    </row>
    <row r="14" spans="1:5" s="85" customFormat="1" ht="15.6" x14ac:dyDescent="0.3">
      <c r="A14" s="90" t="s">
        <v>106</v>
      </c>
      <c r="B14" s="93">
        <f>'2.bevétel'!F65</f>
        <v>3900000</v>
      </c>
      <c r="C14" s="93">
        <v>0</v>
      </c>
      <c r="D14" s="93">
        <v>0</v>
      </c>
      <c r="E14" s="93">
        <f t="shared" si="0"/>
        <v>3900000</v>
      </c>
    </row>
    <row r="15" spans="1:5" s="85" customFormat="1" ht="15.6" x14ac:dyDescent="0.3">
      <c r="A15" s="90" t="s">
        <v>119</v>
      </c>
      <c r="B15" s="93">
        <f>'2.bevétel'!F81+'11.Idősek Otthona bevétel'!F22</f>
        <v>2706370</v>
      </c>
      <c r="C15" s="93">
        <v>0</v>
      </c>
      <c r="D15" s="93">
        <v>0</v>
      </c>
      <c r="E15" s="93">
        <f t="shared" si="0"/>
        <v>2706370</v>
      </c>
    </row>
    <row r="16" spans="1:5" s="85" customFormat="1" ht="15.6" x14ac:dyDescent="0.3">
      <c r="A16" s="90" t="s">
        <v>137</v>
      </c>
      <c r="B16" s="93">
        <v>0</v>
      </c>
      <c r="C16" s="93">
        <f>'11.Idősek Otthona bevétel'!F8</f>
        <v>25631000</v>
      </c>
      <c r="D16" s="93">
        <v>0</v>
      </c>
      <c r="E16" s="93">
        <f t="shared" si="0"/>
        <v>25631000</v>
      </c>
    </row>
    <row r="17" spans="1:5" s="97" customFormat="1" ht="15.6" x14ac:dyDescent="0.3">
      <c r="A17" s="95" t="s">
        <v>120</v>
      </c>
      <c r="B17" s="96"/>
      <c r="C17" s="96">
        <f>'2.bevétel'!F84</f>
        <v>100000</v>
      </c>
      <c r="D17" s="46">
        <v>0</v>
      </c>
      <c r="E17" s="93">
        <f t="shared" si="0"/>
        <v>100000</v>
      </c>
    </row>
    <row r="18" spans="1:5" s="97" customFormat="1" ht="15.6" x14ac:dyDescent="0.3">
      <c r="A18" s="95" t="s">
        <v>110</v>
      </c>
      <c r="B18" s="96">
        <f>'2.bevétel'!F68</f>
        <v>0</v>
      </c>
      <c r="C18" s="96"/>
      <c r="D18" s="46"/>
      <c r="E18" s="93">
        <f t="shared" si="0"/>
        <v>0</v>
      </c>
    </row>
    <row r="19" spans="1:5" s="85" customFormat="1" ht="21.15" customHeight="1" x14ac:dyDescent="0.3">
      <c r="A19" s="98" t="s">
        <v>138</v>
      </c>
      <c r="B19" s="99">
        <f>SUM(B7:B18)</f>
        <v>107382127</v>
      </c>
      <c r="C19" s="99">
        <f>SUM(C7:C18)</f>
        <v>28580744</v>
      </c>
      <c r="D19" s="99">
        <f>SUM(D8:D15)</f>
        <v>0</v>
      </c>
      <c r="E19" s="99">
        <f>SUM(E7:E18)</f>
        <v>135962871</v>
      </c>
    </row>
    <row r="20" spans="1:5" s="85" customFormat="1" x14ac:dyDescent="0.25">
      <c r="E20" s="277"/>
    </row>
    <row r="21" spans="1:5" s="85" customFormat="1" x14ac:dyDescent="0.25">
      <c r="B21" s="100"/>
      <c r="C21" s="100"/>
      <c r="E21" s="278"/>
    </row>
    <row r="22" spans="1:5" s="85" customFormat="1" x14ac:dyDescent="0.25">
      <c r="C22" s="100"/>
    </row>
  </sheetData>
  <sheetProtection selectLockedCells="1" selectUnlockedCells="1"/>
  <mergeCells count="4">
    <mergeCell ref="A1:E1"/>
    <mergeCell ref="A2:E2"/>
    <mergeCell ref="A3:E3"/>
    <mergeCell ref="A4:E4"/>
  </mergeCells>
  <printOptions headings="1" gridLines="1"/>
  <pageMargins left="0.74791666666666667" right="0.74791666666666667" top="0.98402777777777772" bottom="0.98402777777777772" header="0.51180555555555551" footer="0.51180555555555551"/>
  <pageSetup paperSize="9" scale="85" firstPageNumber="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9"/>
  <sheetViews>
    <sheetView view="pageBreakPreview" topLeftCell="A232" zoomScale="110" zoomScaleNormal="120" zoomScaleSheetLayoutView="110" workbookViewId="0">
      <selection activeCell="H24" sqref="H24"/>
    </sheetView>
  </sheetViews>
  <sheetFormatPr defaultColWidth="9.109375" defaultRowHeight="15.6" x14ac:dyDescent="0.3"/>
  <cols>
    <col min="1" max="1" width="4.109375" style="4" customWidth="1"/>
    <col min="2" max="2" width="4.88671875" style="12" customWidth="1"/>
    <col min="3" max="3" width="9" style="12" customWidth="1"/>
    <col min="4" max="5" width="2.109375" style="12" customWidth="1"/>
    <col min="6" max="6" width="61.44140625" style="12" customWidth="1"/>
    <col min="7" max="7" width="9.109375" style="12" customWidth="1"/>
    <col min="8" max="8" width="20.88671875" style="12" customWidth="1"/>
    <col min="9" max="9" width="0.33203125" style="4" customWidth="1"/>
    <col min="10" max="10" width="13.88671875" style="4" customWidth="1"/>
    <col min="11" max="16384" width="9.109375" style="4"/>
  </cols>
  <sheetData>
    <row r="1" spans="1:8" x14ac:dyDescent="0.3">
      <c r="F1" s="282" t="s">
        <v>311</v>
      </c>
      <c r="G1" s="282"/>
      <c r="H1" s="282"/>
    </row>
    <row r="2" spans="1:8" x14ac:dyDescent="0.3">
      <c r="A2" s="288"/>
      <c r="B2" s="288"/>
      <c r="C2" s="288"/>
      <c r="D2" s="288"/>
      <c r="E2" s="288"/>
      <c r="F2" s="288"/>
      <c r="G2" s="288"/>
      <c r="H2" s="288"/>
    </row>
    <row r="3" spans="1:8" s="28" customFormat="1" ht="16.2" customHeight="1" x14ac:dyDescent="0.3">
      <c r="A3" s="101"/>
      <c r="B3" s="101"/>
      <c r="C3" s="101"/>
      <c r="D3" s="101"/>
      <c r="E3" s="101"/>
      <c r="F3" s="101"/>
      <c r="G3" s="101"/>
      <c r="H3" s="102"/>
    </row>
    <row r="4" spans="1:8" ht="21.75" customHeight="1" x14ac:dyDescent="0.3">
      <c r="A4" s="283" t="s">
        <v>0</v>
      </c>
      <c r="B4" s="283"/>
      <c r="C4" s="283"/>
      <c r="D4" s="283"/>
      <c r="E4" s="283"/>
      <c r="F4" s="283"/>
      <c r="G4" s="283"/>
      <c r="H4" s="298"/>
    </row>
    <row r="5" spans="1:8" ht="21.75" customHeight="1" x14ac:dyDescent="0.3">
      <c r="A5" s="283" t="s">
        <v>312</v>
      </c>
      <c r="B5" s="283"/>
      <c r="C5" s="283"/>
      <c r="D5" s="283"/>
      <c r="E5" s="283"/>
      <c r="F5" s="283"/>
      <c r="G5" s="283"/>
      <c r="H5" s="298"/>
    </row>
    <row r="6" spans="1:8" ht="18.75" customHeight="1" x14ac:dyDescent="0.3">
      <c r="A6" s="289" t="s">
        <v>139</v>
      </c>
      <c r="B6" s="289"/>
      <c r="C6" s="289"/>
      <c r="D6" s="289"/>
      <c r="E6" s="289"/>
      <c r="F6" s="289"/>
      <c r="G6" s="289"/>
      <c r="H6" s="299"/>
    </row>
    <row r="7" spans="1:8" s="7" customFormat="1" ht="18.75" customHeight="1" x14ac:dyDescent="0.3">
      <c r="A7" s="66"/>
      <c r="B7" s="66"/>
      <c r="C7" s="66"/>
      <c r="D7" s="66"/>
      <c r="E7" s="66"/>
      <c r="F7" s="66"/>
      <c r="G7" s="38"/>
      <c r="H7" s="38"/>
    </row>
    <row r="8" spans="1:8" ht="27.75" customHeight="1" x14ac:dyDescent="0.3">
      <c r="A8" s="293" t="s">
        <v>38</v>
      </c>
      <c r="B8" s="293"/>
      <c r="C8" s="293"/>
      <c r="D8" s="293"/>
      <c r="E8" s="293"/>
      <c r="F8" s="293"/>
      <c r="G8" s="293" t="s">
        <v>140</v>
      </c>
      <c r="H8" s="31" t="s">
        <v>124</v>
      </c>
    </row>
    <row r="9" spans="1:8" s="10" customFormat="1" ht="22.5" customHeight="1" x14ac:dyDescent="0.3">
      <c r="A9" s="293"/>
      <c r="B9" s="293"/>
      <c r="C9" s="293"/>
      <c r="D9" s="293"/>
      <c r="E9" s="293"/>
      <c r="F9" s="293"/>
      <c r="G9" s="293"/>
      <c r="H9" s="31" t="s">
        <v>125</v>
      </c>
    </row>
    <row r="10" spans="1:8" ht="30" customHeight="1" x14ac:dyDescent="0.3">
      <c r="A10" s="294" t="s">
        <v>43</v>
      </c>
      <c r="B10" s="294"/>
      <c r="C10" s="294"/>
      <c r="D10" s="294"/>
      <c r="E10" s="294"/>
      <c r="F10" s="294"/>
      <c r="G10" s="104" t="s">
        <v>141</v>
      </c>
      <c r="H10" s="105">
        <f>SUM(H11+H20+H22+H41)</f>
        <v>16157509</v>
      </c>
    </row>
    <row r="11" spans="1:8" s="10" customFormat="1" x14ac:dyDescent="0.3">
      <c r="A11" s="10" t="s">
        <v>20</v>
      </c>
      <c r="B11" s="14" t="s">
        <v>142</v>
      </c>
      <c r="C11" s="14"/>
      <c r="D11" s="14"/>
      <c r="E11" s="14"/>
      <c r="F11" s="106"/>
      <c r="G11" s="106"/>
      <c r="H11" s="107">
        <f>SUM(H12+H17)</f>
        <v>6114144</v>
      </c>
    </row>
    <row r="12" spans="1:8" x14ac:dyDescent="0.3">
      <c r="B12" s="12" t="s">
        <v>143</v>
      </c>
      <c r="D12" s="12" t="s">
        <v>144</v>
      </c>
      <c r="F12" s="108"/>
      <c r="G12" s="108"/>
      <c r="H12" s="110">
        <f>SUM(H13:H16)</f>
        <v>1575000</v>
      </c>
    </row>
    <row r="13" spans="1:8" x14ac:dyDescent="0.3">
      <c r="C13" s="12" t="s">
        <v>145</v>
      </c>
      <c r="D13" s="12" t="s">
        <v>146</v>
      </c>
      <c r="F13" s="108"/>
      <c r="G13" s="108"/>
      <c r="H13" s="109">
        <v>1385000</v>
      </c>
    </row>
    <row r="14" spans="1:8" x14ac:dyDescent="0.3">
      <c r="C14" s="12" t="s">
        <v>147</v>
      </c>
      <c r="D14" s="12" t="s">
        <v>148</v>
      </c>
      <c r="F14" s="108"/>
      <c r="G14" s="108"/>
      <c r="H14" s="109">
        <v>150000</v>
      </c>
    </row>
    <row r="15" spans="1:8" x14ac:dyDescent="0.3">
      <c r="C15" s="12" t="s">
        <v>149</v>
      </c>
      <c r="D15" s="12" t="s">
        <v>150</v>
      </c>
      <c r="F15" s="108"/>
      <c r="G15" s="108"/>
      <c r="H15" s="109">
        <v>20000</v>
      </c>
    </row>
    <row r="16" spans="1:8" x14ac:dyDescent="0.3">
      <c r="C16" s="12" t="s">
        <v>151</v>
      </c>
      <c r="D16" s="12" t="s">
        <v>152</v>
      </c>
      <c r="F16" s="108"/>
      <c r="G16" s="108"/>
      <c r="H16" s="109">
        <v>20000</v>
      </c>
    </row>
    <row r="17" spans="1:11" x14ac:dyDescent="0.3">
      <c r="B17" s="12" t="s">
        <v>153</v>
      </c>
      <c r="D17" s="12" t="s">
        <v>154</v>
      </c>
      <c r="F17" s="108"/>
      <c r="G17" s="108"/>
      <c r="H17" s="110">
        <f>SUM(H18:H19)</f>
        <v>4539144</v>
      </c>
    </row>
    <row r="18" spans="1:11" x14ac:dyDescent="0.3">
      <c r="C18" s="12" t="s">
        <v>155</v>
      </c>
      <c r="D18" s="12" t="s">
        <v>156</v>
      </c>
      <c r="F18" s="108"/>
      <c r="G18" s="108"/>
      <c r="H18" s="109">
        <f>1794912+269232</f>
        <v>2064144</v>
      </c>
    </row>
    <row r="19" spans="1:11" x14ac:dyDescent="0.3">
      <c r="C19" s="12" t="s">
        <v>155</v>
      </c>
      <c r="D19" s="12" t="s">
        <v>157</v>
      </c>
      <c r="F19" s="108"/>
      <c r="G19" s="108"/>
      <c r="H19" s="109">
        <v>2475000</v>
      </c>
    </row>
    <row r="20" spans="1:11" s="10" customFormat="1" ht="15.75" customHeight="1" x14ac:dyDescent="0.3">
      <c r="A20" s="10" t="s">
        <v>22</v>
      </c>
      <c r="B20" s="10" t="s">
        <v>158</v>
      </c>
      <c r="F20" s="111"/>
      <c r="G20" s="112"/>
      <c r="H20" s="107">
        <f>SUM(H21)</f>
        <v>947692</v>
      </c>
    </row>
    <row r="21" spans="1:11" x14ac:dyDescent="0.3">
      <c r="D21" s="12" t="s">
        <v>159</v>
      </c>
      <c r="F21" s="108"/>
      <c r="G21" s="108"/>
      <c r="H21" s="109">
        <f>(H12*0.155)+640911+62656</f>
        <v>947692</v>
      </c>
      <c r="K21" s="4" t="s">
        <v>107</v>
      </c>
    </row>
    <row r="22" spans="1:11" s="10" customFormat="1" x14ac:dyDescent="0.3">
      <c r="A22" s="10" t="s">
        <v>24</v>
      </c>
      <c r="B22" s="10" t="s">
        <v>25</v>
      </c>
      <c r="F22" s="111"/>
      <c r="G22" s="106"/>
      <c r="H22" s="107">
        <f>SUM(H23+H27+H30+H35+H37)</f>
        <v>2832000</v>
      </c>
    </row>
    <row r="23" spans="1:11" x14ac:dyDescent="0.3">
      <c r="B23" s="12" t="s">
        <v>160</v>
      </c>
      <c r="D23" s="12" t="s">
        <v>161</v>
      </c>
      <c r="F23" s="113"/>
      <c r="G23" s="113"/>
      <c r="H23" s="110">
        <f>SUM(H24+H26)</f>
        <v>370000</v>
      </c>
    </row>
    <row r="24" spans="1:11" x14ac:dyDescent="0.3">
      <c r="C24" s="12" t="s">
        <v>162</v>
      </c>
      <c r="D24" s="12" t="s">
        <v>163</v>
      </c>
      <c r="F24" s="113"/>
      <c r="G24" s="113"/>
      <c r="H24" s="109">
        <f>SUM(H25)</f>
        <v>50000</v>
      </c>
    </row>
    <row r="25" spans="1:11" x14ac:dyDescent="0.3">
      <c r="F25" s="113" t="s">
        <v>164</v>
      </c>
      <c r="G25" s="113"/>
      <c r="H25" s="109">
        <v>50000</v>
      </c>
    </row>
    <row r="26" spans="1:11" x14ac:dyDescent="0.3">
      <c r="C26" s="12" t="s">
        <v>165</v>
      </c>
      <c r="D26" s="12" t="s">
        <v>166</v>
      </c>
      <c r="F26" s="108"/>
      <c r="G26" s="108"/>
      <c r="H26" s="109">
        <v>320000</v>
      </c>
    </row>
    <row r="27" spans="1:11" x14ac:dyDescent="0.3">
      <c r="B27" s="12" t="s">
        <v>167</v>
      </c>
      <c r="D27" s="12" t="s">
        <v>168</v>
      </c>
      <c r="F27" s="108"/>
      <c r="G27" s="108"/>
      <c r="H27" s="110">
        <f>SUM(H28+H29)</f>
        <v>600000</v>
      </c>
    </row>
    <row r="28" spans="1:11" x14ac:dyDescent="0.3">
      <c r="C28" s="12" t="s">
        <v>169</v>
      </c>
      <c r="D28" s="12" t="s">
        <v>170</v>
      </c>
      <c r="F28" s="108"/>
      <c r="G28" s="108"/>
      <c r="H28" s="109">
        <v>450000</v>
      </c>
    </row>
    <row r="29" spans="1:11" x14ac:dyDescent="0.3">
      <c r="C29" s="12" t="s">
        <v>171</v>
      </c>
      <c r="D29" s="12" t="s">
        <v>172</v>
      </c>
      <c r="F29" s="108"/>
      <c r="G29" s="108"/>
      <c r="H29" s="109">
        <v>150000</v>
      </c>
    </row>
    <row r="30" spans="1:11" x14ac:dyDescent="0.3">
      <c r="B30" s="12" t="s">
        <v>173</v>
      </c>
      <c r="D30" s="12" t="s">
        <v>174</v>
      </c>
      <c r="F30" s="108"/>
      <c r="G30" s="108"/>
      <c r="H30" s="110">
        <f>SUM(H31+H32+H33)</f>
        <v>1500000</v>
      </c>
    </row>
    <row r="31" spans="1:11" x14ac:dyDescent="0.3">
      <c r="C31" s="12" t="s">
        <v>175</v>
      </c>
      <c r="D31" s="12" t="s">
        <v>176</v>
      </c>
      <c r="F31" s="108"/>
      <c r="G31" s="108"/>
      <c r="H31" s="109">
        <v>400000</v>
      </c>
    </row>
    <row r="32" spans="1:11" x14ac:dyDescent="0.3">
      <c r="C32" s="12" t="s">
        <v>177</v>
      </c>
      <c r="D32" s="12" t="s">
        <v>178</v>
      </c>
      <c r="F32" s="108"/>
      <c r="G32" s="108"/>
      <c r="H32" s="109">
        <v>500000</v>
      </c>
    </row>
    <row r="33" spans="1:10" x14ac:dyDescent="0.3">
      <c r="C33" s="12" t="s">
        <v>179</v>
      </c>
      <c r="D33" s="12" t="s">
        <v>180</v>
      </c>
      <c r="F33" s="108"/>
      <c r="G33" s="108"/>
      <c r="H33" s="109">
        <v>600000</v>
      </c>
    </row>
    <row r="34" spans="1:10" x14ac:dyDescent="0.3">
      <c r="F34" s="108" t="s">
        <v>181</v>
      </c>
      <c r="G34" s="108"/>
      <c r="H34" s="114">
        <v>100000</v>
      </c>
    </row>
    <row r="35" spans="1:10" x14ac:dyDescent="0.3">
      <c r="B35" s="12" t="s">
        <v>182</v>
      </c>
      <c r="D35" s="12" t="s">
        <v>183</v>
      </c>
      <c r="E35" s="108"/>
      <c r="F35" s="108"/>
      <c r="G35" s="72"/>
      <c r="H35" s="115">
        <f>H36</f>
        <v>100000</v>
      </c>
    </row>
    <row r="36" spans="1:10" x14ac:dyDescent="0.3">
      <c r="C36" s="12" t="s">
        <v>184</v>
      </c>
      <c r="D36" s="12" t="s">
        <v>185</v>
      </c>
      <c r="E36" s="108"/>
      <c r="F36" s="108"/>
      <c r="G36" s="74"/>
      <c r="H36" s="331">
        <v>100000</v>
      </c>
    </row>
    <row r="37" spans="1:10" x14ac:dyDescent="0.3">
      <c r="B37" s="12" t="s">
        <v>186</v>
      </c>
      <c r="D37" s="12" t="s">
        <v>187</v>
      </c>
      <c r="F37" s="108"/>
      <c r="G37" s="108"/>
      <c r="H37" s="73">
        <f>SUM(H38:H40)</f>
        <v>262000</v>
      </c>
    </row>
    <row r="38" spans="1:10" x14ac:dyDescent="0.3">
      <c r="C38" s="12" t="s">
        <v>188</v>
      </c>
      <c r="D38" s="12" t="s">
        <v>189</v>
      </c>
      <c r="F38" s="108"/>
      <c r="G38" s="108"/>
      <c r="H38" s="109">
        <v>250000</v>
      </c>
    </row>
    <row r="39" spans="1:10" x14ac:dyDescent="0.3">
      <c r="C39" s="12" t="s">
        <v>190</v>
      </c>
      <c r="D39" s="12" t="s">
        <v>191</v>
      </c>
      <c r="F39" s="108"/>
      <c r="G39" s="108"/>
      <c r="H39" s="109">
        <v>2000</v>
      </c>
    </row>
    <row r="40" spans="1:10" x14ac:dyDescent="0.3">
      <c r="C40" s="12" t="s">
        <v>192</v>
      </c>
      <c r="D40" s="12" t="s">
        <v>193</v>
      </c>
      <c r="F40" s="108"/>
      <c r="G40" s="108"/>
      <c r="H40" s="109">
        <v>10000</v>
      </c>
    </row>
    <row r="41" spans="1:10" s="10" customFormat="1" x14ac:dyDescent="0.3">
      <c r="A41" s="10" t="s">
        <v>28</v>
      </c>
      <c r="B41" s="10" t="s">
        <v>29</v>
      </c>
      <c r="F41" s="111"/>
      <c r="G41" s="106"/>
      <c r="H41" s="107">
        <f>SUM(H42+H44+H43)</f>
        <v>6263673</v>
      </c>
    </row>
    <row r="42" spans="1:10" x14ac:dyDescent="0.3">
      <c r="C42" s="12" t="s">
        <v>194</v>
      </c>
      <c r="D42" s="12" t="s">
        <v>195</v>
      </c>
      <c r="F42" s="108"/>
      <c r="G42" s="108"/>
      <c r="H42" s="131">
        <v>0</v>
      </c>
    </row>
    <row r="43" spans="1:10" x14ac:dyDescent="0.3">
      <c r="C43" s="12" t="s">
        <v>196</v>
      </c>
      <c r="D43" s="12" t="s">
        <v>197</v>
      </c>
      <c r="F43" s="108"/>
      <c r="G43" s="116"/>
      <c r="H43" s="109">
        <v>300000</v>
      </c>
    </row>
    <row r="44" spans="1:10" x14ac:dyDescent="0.3">
      <c r="C44" s="12" t="s">
        <v>198</v>
      </c>
      <c r="D44" s="12" t="s">
        <v>199</v>
      </c>
      <c r="F44" s="108"/>
      <c r="G44" s="108"/>
      <c r="H44" s="332">
        <v>5963673</v>
      </c>
      <c r="J44" s="65"/>
    </row>
    <row r="45" spans="1:10" s="10" customFormat="1" ht="30" customHeight="1" x14ac:dyDescent="0.3">
      <c r="A45" s="42" t="s">
        <v>106</v>
      </c>
      <c r="B45" s="32"/>
      <c r="C45" s="32"/>
      <c r="D45" s="32"/>
      <c r="E45" s="32"/>
      <c r="F45" s="117"/>
      <c r="G45" s="281"/>
      <c r="H45" s="118">
        <f>SUM(H46)</f>
        <v>3560000</v>
      </c>
    </row>
    <row r="46" spans="1:10" s="10" customFormat="1" x14ac:dyDescent="0.3">
      <c r="A46" s="10" t="s">
        <v>35</v>
      </c>
      <c r="B46" s="14" t="s">
        <v>36</v>
      </c>
      <c r="C46" s="14"/>
      <c r="D46" s="14"/>
      <c r="E46" s="14"/>
      <c r="F46" s="106"/>
      <c r="G46" s="106"/>
      <c r="H46" s="107">
        <f>SUM(H47)</f>
        <v>3560000</v>
      </c>
    </row>
    <row r="47" spans="1:10" x14ac:dyDescent="0.3">
      <c r="C47" s="12" t="s">
        <v>200</v>
      </c>
      <c r="D47" s="12" t="s">
        <v>201</v>
      </c>
      <c r="F47" s="108"/>
      <c r="G47" s="108"/>
      <c r="H47" s="109">
        <v>3560000</v>
      </c>
    </row>
    <row r="48" spans="1:10" ht="30" customHeight="1" x14ac:dyDescent="0.3">
      <c r="A48" s="295" t="s">
        <v>50</v>
      </c>
      <c r="B48" s="295"/>
      <c r="C48" s="295"/>
      <c r="D48" s="295"/>
      <c r="E48" s="295"/>
      <c r="F48" s="295"/>
      <c r="G48" s="119"/>
      <c r="H48" s="118">
        <f>H49+H52</f>
        <v>42294502</v>
      </c>
    </row>
    <row r="49" spans="1:9" s="10" customFormat="1" x14ac:dyDescent="0.3">
      <c r="A49" s="10" t="s">
        <v>35</v>
      </c>
      <c r="B49" s="10" t="s">
        <v>36</v>
      </c>
      <c r="F49" s="111"/>
      <c r="G49" s="106"/>
      <c r="H49" s="107">
        <f>H50</f>
        <v>35155577</v>
      </c>
    </row>
    <row r="50" spans="1:9" x14ac:dyDescent="0.3">
      <c r="B50" s="12" t="s">
        <v>202</v>
      </c>
      <c r="C50" s="12" t="s">
        <v>203</v>
      </c>
      <c r="F50" s="108"/>
      <c r="G50" s="108"/>
      <c r="H50" s="109">
        <f>SUM(H51)</f>
        <v>35155577</v>
      </c>
    </row>
    <row r="51" spans="1:9" x14ac:dyDescent="0.3">
      <c r="C51" s="12" t="s">
        <v>204</v>
      </c>
      <c r="D51" s="12" t="s">
        <v>205</v>
      </c>
      <c r="F51" s="108"/>
      <c r="G51" s="108"/>
      <c r="H51" s="109">
        <f>29638280+5517297</f>
        <v>35155577</v>
      </c>
    </row>
    <row r="52" spans="1:9" x14ac:dyDescent="0.3">
      <c r="A52" s="10" t="s">
        <v>28</v>
      </c>
      <c r="B52" s="10" t="s">
        <v>29</v>
      </c>
      <c r="C52" s="10"/>
      <c r="D52" s="10"/>
      <c r="E52" s="10"/>
      <c r="F52" s="111"/>
      <c r="G52" s="108"/>
      <c r="H52" s="110">
        <f>H53</f>
        <v>7138925</v>
      </c>
    </row>
    <row r="53" spans="1:9" x14ac:dyDescent="0.3">
      <c r="C53" s="12" t="s">
        <v>194</v>
      </c>
      <c r="D53" s="12" t="s">
        <v>195</v>
      </c>
      <c r="F53" s="108"/>
      <c r="G53" s="108"/>
      <c r="H53" s="109">
        <f>SUM(H54:H59)</f>
        <v>7138925</v>
      </c>
    </row>
    <row r="54" spans="1:9" ht="31.5" customHeight="1" x14ac:dyDescent="0.3">
      <c r="F54" s="120" t="s">
        <v>206</v>
      </c>
      <c r="G54" s="120"/>
      <c r="H54" s="213">
        <v>4761255</v>
      </c>
    </row>
    <row r="55" spans="1:9" ht="16.2" customHeight="1" x14ac:dyDescent="0.3">
      <c r="F55" s="120" t="s">
        <v>207</v>
      </c>
      <c r="G55" s="120"/>
      <c r="H55" s="213">
        <v>131139</v>
      </c>
    </row>
    <row r="56" spans="1:9" x14ac:dyDescent="0.3">
      <c r="F56" s="108" t="s">
        <v>208</v>
      </c>
      <c r="G56" s="108"/>
      <c r="H56" s="333">
        <f>730156+25000</f>
        <v>755156</v>
      </c>
    </row>
    <row r="57" spans="1:9" x14ac:dyDescent="0.3">
      <c r="F57" s="108" t="s">
        <v>209</v>
      </c>
      <c r="G57" s="108"/>
      <c r="H57" s="109">
        <v>365375</v>
      </c>
    </row>
    <row r="58" spans="1:9" x14ac:dyDescent="0.3">
      <c r="F58" s="108" t="s">
        <v>210</v>
      </c>
      <c r="G58" s="108"/>
      <c r="H58" s="109">
        <v>26000</v>
      </c>
    </row>
    <row r="59" spans="1:9" x14ac:dyDescent="0.3">
      <c r="F59" s="108" t="s">
        <v>211</v>
      </c>
      <c r="G59" s="108"/>
      <c r="H59" s="109">
        <v>1100000</v>
      </c>
    </row>
    <row r="60" spans="1:9" ht="30" customHeight="1" x14ac:dyDescent="0.3">
      <c r="A60" s="295" t="s">
        <v>115</v>
      </c>
      <c r="B60" s="295"/>
      <c r="C60" s="295"/>
      <c r="D60" s="295"/>
      <c r="E60" s="295"/>
      <c r="F60" s="295"/>
      <c r="G60" s="104"/>
      <c r="H60" s="118">
        <f>SUM(H66+H80+H61+H64+H77)</f>
        <v>6523499.5999999996</v>
      </c>
    </row>
    <row r="61" spans="1:9" s="10" customFormat="1" x14ac:dyDescent="0.3">
      <c r="A61" s="10" t="s">
        <v>20</v>
      </c>
      <c r="B61" s="14" t="s">
        <v>142</v>
      </c>
      <c r="C61" s="14"/>
      <c r="D61" s="14"/>
      <c r="E61" s="14"/>
      <c r="F61" s="106"/>
      <c r="G61" s="106"/>
      <c r="H61" s="107">
        <f>SUM(H62)</f>
        <v>192500</v>
      </c>
      <c r="I61" s="4"/>
    </row>
    <row r="62" spans="1:9" x14ac:dyDescent="0.3">
      <c r="B62" s="12" t="s">
        <v>153</v>
      </c>
      <c r="D62" s="12" t="s">
        <v>154</v>
      </c>
      <c r="F62" s="108"/>
      <c r="G62" s="108"/>
      <c r="H62" s="110">
        <f>SUM(H63)</f>
        <v>192500</v>
      </c>
    </row>
    <row r="63" spans="1:9" x14ac:dyDescent="0.3">
      <c r="C63" s="12" t="s">
        <v>212</v>
      </c>
      <c r="D63" s="12" t="s">
        <v>213</v>
      </c>
      <c r="F63" s="108"/>
      <c r="G63" s="108"/>
      <c r="H63" s="109">
        <f>7700*25</f>
        <v>192500</v>
      </c>
    </row>
    <row r="64" spans="1:9" s="10" customFormat="1" ht="15.75" customHeight="1" x14ac:dyDescent="0.3">
      <c r="A64" s="10" t="s">
        <v>22</v>
      </c>
      <c r="B64" s="10" t="s">
        <v>158</v>
      </c>
      <c r="F64" s="111"/>
      <c r="G64" s="112"/>
      <c r="H64" s="107">
        <f>SUM(H65)</f>
        <v>25000</v>
      </c>
    </row>
    <row r="65" spans="1:10" x14ac:dyDescent="0.3">
      <c r="D65" s="12" t="s">
        <v>214</v>
      </c>
      <c r="F65" s="108"/>
      <c r="G65" s="108"/>
      <c r="H65" s="109">
        <f>1000*25</f>
        <v>25000</v>
      </c>
    </row>
    <row r="66" spans="1:10" s="10" customFormat="1" x14ac:dyDescent="0.3">
      <c r="A66" s="10" t="s">
        <v>24</v>
      </c>
      <c r="B66" s="10" t="s">
        <v>25</v>
      </c>
      <c r="F66" s="111"/>
      <c r="G66" s="106"/>
      <c r="H66" s="11">
        <f>SUM(H67+H69+H75)</f>
        <v>2550000</v>
      </c>
    </row>
    <row r="67" spans="1:10" x14ac:dyDescent="0.3">
      <c r="A67" s="4" t="s">
        <v>107</v>
      </c>
      <c r="B67" s="12" t="s">
        <v>160</v>
      </c>
      <c r="D67" s="12" t="s">
        <v>161</v>
      </c>
      <c r="F67" s="113"/>
      <c r="G67" s="113"/>
      <c r="H67" s="13">
        <f>SUM(H68)</f>
        <v>700000</v>
      </c>
    </row>
    <row r="68" spans="1:10" x14ac:dyDescent="0.3">
      <c r="C68" s="12" t="s">
        <v>165</v>
      </c>
      <c r="D68" s="12" t="s">
        <v>166</v>
      </c>
      <c r="F68" s="108"/>
      <c r="G68" s="108"/>
      <c r="H68" s="109">
        <v>700000</v>
      </c>
    </row>
    <row r="69" spans="1:10" x14ac:dyDescent="0.3">
      <c r="B69" s="12" t="s">
        <v>173</v>
      </c>
      <c r="D69" s="12" t="s">
        <v>174</v>
      </c>
      <c r="F69" s="108"/>
      <c r="G69" s="108"/>
      <c r="H69" s="13">
        <f>SUM(H70+H71+H72)</f>
        <v>1350000</v>
      </c>
    </row>
    <row r="70" spans="1:10" x14ac:dyDescent="0.3">
      <c r="C70" s="12" t="s">
        <v>175</v>
      </c>
      <c r="D70" s="12" t="s">
        <v>176</v>
      </c>
      <c r="F70" s="108"/>
      <c r="G70" s="108"/>
      <c r="H70" s="109">
        <v>50000</v>
      </c>
    </row>
    <row r="71" spans="1:10" x14ac:dyDescent="0.3">
      <c r="C71" s="12" t="s">
        <v>177</v>
      </c>
      <c r="D71" s="12" t="s">
        <v>178</v>
      </c>
      <c r="F71" s="108"/>
      <c r="G71" s="108"/>
      <c r="H71" s="109">
        <v>600000</v>
      </c>
    </row>
    <row r="72" spans="1:10" x14ac:dyDescent="0.3">
      <c r="C72" s="12" t="s">
        <v>179</v>
      </c>
      <c r="D72" s="12" t="s">
        <v>180</v>
      </c>
      <c r="F72" s="108"/>
      <c r="G72" s="108"/>
      <c r="H72" s="109">
        <f>SUM(H73:I74)</f>
        <v>700000</v>
      </c>
    </row>
    <row r="73" spans="1:10" x14ac:dyDescent="0.3">
      <c r="F73" s="108" t="s">
        <v>215</v>
      </c>
      <c r="G73" s="108"/>
      <c r="H73" s="109">
        <v>450000</v>
      </c>
    </row>
    <row r="74" spans="1:10" x14ac:dyDescent="0.3">
      <c r="F74" s="108" t="s">
        <v>181</v>
      </c>
      <c r="G74" s="108"/>
      <c r="H74" s="109">
        <v>250000</v>
      </c>
    </row>
    <row r="75" spans="1:10" x14ac:dyDescent="0.3">
      <c r="B75" s="12" t="s">
        <v>186</v>
      </c>
      <c r="D75" s="12" t="s">
        <v>187</v>
      </c>
      <c r="F75" s="108"/>
      <c r="G75" s="108"/>
      <c r="H75" s="13">
        <f>SUM(H76)</f>
        <v>500000</v>
      </c>
    </row>
    <row r="76" spans="1:10" x14ac:dyDescent="0.3">
      <c r="C76" s="12" t="s">
        <v>188</v>
      </c>
      <c r="D76" s="12" t="s">
        <v>189</v>
      </c>
      <c r="F76" s="108"/>
      <c r="G76" s="108"/>
      <c r="H76" s="109">
        <v>500000</v>
      </c>
    </row>
    <row r="77" spans="1:10" x14ac:dyDescent="0.3">
      <c r="A77" s="10" t="s">
        <v>31</v>
      </c>
      <c r="B77" s="14" t="s">
        <v>32</v>
      </c>
      <c r="F77" s="108"/>
      <c r="G77" s="108"/>
      <c r="H77" s="107">
        <f>SUM(H78:H79)</f>
        <v>3556000</v>
      </c>
      <c r="J77" s="212"/>
    </row>
    <row r="78" spans="1:10" x14ac:dyDescent="0.3">
      <c r="B78" s="12" t="s">
        <v>224</v>
      </c>
      <c r="C78" s="10"/>
      <c r="D78" s="12" t="s">
        <v>323</v>
      </c>
      <c r="E78" s="10"/>
      <c r="F78" s="121"/>
      <c r="G78" s="109"/>
      <c r="H78" s="109">
        <v>2800000</v>
      </c>
    </row>
    <row r="79" spans="1:10" x14ac:dyDescent="0.3">
      <c r="B79" s="12" t="s">
        <v>218</v>
      </c>
      <c r="D79" s="12" t="s">
        <v>219</v>
      </c>
      <c r="F79" s="108"/>
      <c r="G79" s="108"/>
      <c r="H79" s="109">
        <f>H78*0.27</f>
        <v>756000</v>
      </c>
      <c r="J79" s="10"/>
    </row>
    <row r="80" spans="1:10" s="10" customFormat="1" x14ac:dyDescent="0.3">
      <c r="A80" s="10" t="s">
        <v>33</v>
      </c>
      <c r="B80" s="10" t="s">
        <v>34</v>
      </c>
      <c r="F80" s="111"/>
      <c r="G80" s="122"/>
      <c r="H80" s="107">
        <f>SUM(H81:H82)</f>
        <v>199999.6</v>
      </c>
      <c r="I80" s="4"/>
    </row>
    <row r="81" spans="1:9" x14ac:dyDescent="0.3">
      <c r="B81" s="12" t="s">
        <v>220</v>
      </c>
      <c r="D81" s="12" t="s">
        <v>302</v>
      </c>
      <c r="F81" s="108"/>
      <c r="G81" s="79"/>
      <c r="H81" s="109">
        <v>157480</v>
      </c>
    </row>
    <row r="82" spans="1:9" x14ac:dyDescent="0.3">
      <c r="B82" s="12" t="s">
        <v>221</v>
      </c>
      <c r="D82" s="12" t="s">
        <v>222</v>
      </c>
      <c r="F82" s="108"/>
      <c r="G82" s="79"/>
      <c r="H82" s="109">
        <f>H81*0.27</f>
        <v>42519.600000000006</v>
      </c>
    </row>
    <row r="83" spans="1:9" ht="30" customHeight="1" x14ac:dyDescent="0.3">
      <c r="A83" s="295" t="s">
        <v>76</v>
      </c>
      <c r="B83" s="295"/>
      <c r="C83" s="295"/>
      <c r="D83" s="295"/>
      <c r="E83" s="295"/>
      <c r="F83" s="295"/>
      <c r="G83" s="104"/>
      <c r="H83" s="118">
        <f>SUM(H84,H95)</f>
        <v>685000</v>
      </c>
    </row>
    <row r="84" spans="1:9" s="10" customFormat="1" x14ac:dyDescent="0.3">
      <c r="A84" s="10" t="s">
        <v>24</v>
      </c>
      <c r="B84" s="10" t="s">
        <v>25</v>
      </c>
      <c r="F84" s="111"/>
      <c r="G84" s="106"/>
      <c r="H84" s="11">
        <f>SUM(H85+H88+H93)</f>
        <v>685000</v>
      </c>
      <c r="I84" s="34"/>
    </row>
    <row r="85" spans="1:9" x14ac:dyDescent="0.3">
      <c r="B85" s="12" t="s">
        <v>160</v>
      </c>
      <c r="D85" s="12" t="s">
        <v>161</v>
      </c>
      <c r="F85" s="113"/>
      <c r="G85" s="113"/>
      <c r="H85" s="13">
        <f>SUM(H86)</f>
        <v>20000</v>
      </c>
    </row>
    <row r="86" spans="1:9" x14ac:dyDescent="0.3">
      <c r="C86" s="12" t="s">
        <v>165</v>
      </c>
      <c r="D86" s="12" t="s">
        <v>166</v>
      </c>
      <c r="F86" s="108"/>
      <c r="G86" s="108"/>
      <c r="H86" s="109">
        <f>SUM(H87)</f>
        <v>20000</v>
      </c>
    </row>
    <row r="87" spans="1:9" x14ac:dyDescent="0.3">
      <c r="A87" s="10"/>
      <c r="B87" s="14"/>
      <c r="C87" s="14"/>
      <c r="D87" s="123"/>
      <c r="E87" s="123"/>
      <c r="F87" s="108" t="s">
        <v>223</v>
      </c>
      <c r="G87" s="108"/>
      <c r="H87" s="109">
        <v>20000</v>
      </c>
    </row>
    <row r="88" spans="1:9" x14ac:dyDescent="0.3">
      <c r="B88" s="12" t="s">
        <v>173</v>
      </c>
      <c r="D88" s="12" t="s">
        <v>174</v>
      </c>
      <c r="F88" s="108"/>
      <c r="G88" s="108"/>
      <c r="H88" s="13">
        <f>SUM(H89:H91)</f>
        <v>525000</v>
      </c>
    </row>
    <row r="89" spans="1:9" x14ac:dyDescent="0.3">
      <c r="C89" s="12" t="s">
        <v>175</v>
      </c>
      <c r="D89" s="12" t="s">
        <v>176</v>
      </c>
      <c r="F89" s="108"/>
      <c r="G89" s="108"/>
      <c r="H89" s="109">
        <v>25000</v>
      </c>
    </row>
    <row r="90" spans="1:9" x14ac:dyDescent="0.3">
      <c r="C90" s="12" t="s">
        <v>177</v>
      </c>
      <c r="D90" s="12" t="s">
        <v>178</v>
      </c>
      <c r="F90" s="108"/>
      <c r="G90" s="108"/>
      <c r="H90" s="109">
        <v>300000</v>
      </c>
    </row>
    <row r="91" spans="1:9" x14ac:dyDescent="0.3">
      <c r="C91" s="12" t="s">
        <v>179</v>
      </c>
      <c r="D91" s="12" t="s">
        <v>180</v>
      </c>
      <c r="F91" s="108"/>
      <c r="G91" s="108"/>
      <c r="H91" s="109">
        <f>H92</f>
        <v>200000</v>
      </c>
    </row>
    <row r="92" spans="1:9" x14ac:dyDescent="0.3">
      <c r="F92" s="108" t="s">
        <v>215</v>
      </c>
      <c r="G92" s="108"/>
      <c r="H92" s="109">
        <v>200000</v>
      </c>
    </row>
    <row r="93" spans="1:9" x14ac:dyDescent="0.3">
      <c r="B93" s="12" t="s">
        <v>186</v>
      </c>
      <c r="D93" s="12" t="s">
        <v>187</v>
      </c>
      <c r="F93" s="108"/>
      <c r="G93" s="108"/>
      <c r="H93" s="13">
        <f>SUM(H94)</f>
        <v>140000</v>
      </c>
    </row>
    <row r="94" spans="1:9" x14ac:dyDescent="0.3">
      <c r="C94" s="12" t="s">
        <v>188</v>
      </c>
      <c r="D94" s="12" t="s">
        <v>189</v>
      </c>
      <c r="F94" s="108"/>
      <c r="G94" s="108"/>
      <c r="H94" s="109">
        <v>140000</v>
      </c>
    </row>
    <row r="95" spans="1:9" s="10" customFormat="1" x14ac:dyDescent="0.3">
      <c r="A95" s="10" t="s">
        <v>31</v>
      </c>
      <c r="B95" s="10" t="s">
        <v>32</v>
      </c>
      <c r="F95" s="111"/>
      <c r="G95" s="106"/>
      <c r="H95" s="11">
        <f>SUM(H96:H97)</f>
        <v>0</v>
      </c>
    </row>
    <row r="96" spans="1:9" x14ac:dyDescent="0.3">
      <c r="B96" s="12" t="s">
        <v>224</v>
      </c>
      <c r="D96" s="12" t="s">
        <v>225</v>
      </c>
      <c r="F96" s="108"/>
      <c r="G96" s="108"/>
      <c r="H96" s="109">
        <v>0</v>
      </c>
    </row>
    <row r="97" spans="1:10" x14ac:dyDescent="0.3">
      <c r="B97" s="12" t="s">
        <v>218</v>
      </c>
      <c r="D97" s="12" t="s">
        <v>219</v>
      </c>
      <c r="F97" s="108"/>
      <c r="G97" s="108"/>
      <c r="H97" s="109">
        <v>0</v>
      </c>
    </row>
    <row r="98" spans="1:10" s="10" customFormat="1" ht="30" customHeight="1" x14ac:dyDescent="0.3">
      <c r="A98" s="42" t="s">
        <v>226</v>
      </c>
      <c r="B98" s="32"/>
      <c r="C98" s="32"/>
      <c r="D98" s="32"/>
      <c r="E98" s="32"/>
      <c r="F98" s="117"/>
      <c r="G98" s="281"/>
      <c r="H98" s="124">
        <f>H99+H107</f>
        <v>890000</v>
      </c>
    </row>
    <row r="99" spans="1:10" s="10" customFormat="1" x14ac:dyDescent="0.3">
      <c r="A99" s="10" t="s">
        <v>24</v>
      </c>
      <c r="B99" s="10" t="s">
        <v>25</v>
      </c>
      <c r="F99" s="111"/>
      <c r="G99" s="106"/>
      <c r="H99" s="11">
        <f>SUM(H100+H102+H105)</f>
        <v>690000</v>
      </c>
    </row>
    <row r="100" spans="1:10" x14ac:dyDescent="0.3">
      <c r="B100" s="12" t="s">
        <v>160</v>
      </c>
      <c r="D100" s="12" t="s">
        <v>161</v>
      </c>
      <c r="F100" s="113"/>
      <c r="G100" s="113"/>
      <c r="H100" s="13">
        <f>SUM(H101)</f>
        <v>450000</v>
      </c>
    </row>
    <row r="101" spans="1:10" x14ac:dyDescent="0.3">
      <c r="C101" s="12" t="s">
        <v>165</v>
      </c>
      <c r="D101" s="12" t="s">
        <v>227</v>
      </c>
      <c r="F101" s="108"/>
      <c r="G101" s="108"/>
      <c r="H101" s="109">
        <v>450000</v>
      </c>
    </row>
    <row r="102" spans="1:10" x14ac:dyDescent="0.3">
      <c r="B102" s="12" t="s">
        <v>173</v>
      </c>
      <c r="D102" s="12" t="s">
        <v>174</v>
      </c>
      <c r="F102" s="108"/>
      <c r="G102" s="108"/>
      <c r="H102" s="13">
        <f>H103+H104</f>
        <v>120000</v>
      </c>
    </row>
    <row r="103" spans="1:10" x14ac:dyDescent="0.3">
      <c r="C103" s="12" t="s">
        <v>177</v>
      </c>
      <c r="D103" s="12" t="s">
        <v>178</v>
      </c>
      <c r="F103" s="108"/>
      <c r="G103" s="108"/>
      <c r="H103" s="109">
        <v>100000</v>
      </c>
    </row>
    <row r="104" spans="1:10" x14ac:dyDescent="0.3">
      <c r="C104" s="12" t="s">
        <v>179</v>
      </c>
      <c r="D104" s="12" t="s">
        <v>180</v>
      </c>
      <c r="F104" s="108"/>
      <c r="G104" s="108"/>
      <c r="H104" s="109">
        <v>20000</v>
      </c>
    </row>
    <row r="105" spans="1:10" x14ac:dyDescent="0.3">
      <c r="B105" s="12" t="s">
        <v>186</v>
      </c>
      <c r="D105" s="12" t="s">
        <v>187</v>
      </c>
      <c r="F105" s="108"/>
      <c r="G105" s="108"/>
      <c r="H105" s="13">
        <f>SUM(H106:H106)</f>
        <v>120000</v>
      </c>
    </row>
    <row r="106" spans="1:10" x14ac:dyDescent="0.3">
      <c r="C106" s="12" t="s">
        <v>188</v>
      </c>
      <c r="D106" s="12" t="s">
        <v>189</v>
      </c>
      <c r="F106" s="108"/>
      <c r="G106" s="108"/>
      <c r="H106" s="109">
        <v>120000</v>
      </c>
    </row>
    <row r="107" spans="1:10" x14ac:dyDescent="0.3">
      <c r="A107" s="10" t="s">
        <v>31</v>
      </c>
      <c r="B107" s="14" t="s">
        <v>32</v>
      </c>
      <c r="F107" s="108"/>
      <c r="G107" s="108"/>
      <c r="H107" s="107">
        <f>SUM(H108:H109)</f>
        <v>200000</v>
      </c>
    </row>
    <row r="108" spans="1:10" x14ac:dyDescent="0.3">
      <c r="B108" s="12" t="s">
        <v>216</v>
      </c>
      <c r="C108" s="10"/>
      <c r="D108" s="12" t="s">
        <v>217</v>
      </c>
      <c r="E108" s="10"/>
      <c r="F108" s="121"/>
      <c r="G108" s="109"/>
      <c r="H108" s="109">
        <v>157480</v>
      </c>
    </row>
    <row r="109" spans="1:10" x14ac:dyDescent="0.3">
      <c r="B109" s="12" t="s">
        <v>218</v>
      </c>
      <c r="D109" s="12" t="s">
        <v>219</v>
      </c>
      <c r="F109" s="108"/>
      <c r="G109" s="108"/>
      <c r="H109" s="109">
        <v>42520</v>
      </c>
      <c r="J109" s="10"/>
    </row>
    <row r="110" spans="1:10" s="10" customFormat="1" ht="30" customHeight="1" x14ac:dyDescent="0.3">
      <c r="A110" s="296" t="s">
        <v>228</v>
      </c>
      <c r="B110" s="296"/>
      <c r="C110" s="296"/>
      <c r="D110" s="296"/>
      <c r="E110" s="296"/>
      <c r="F110" s="296"/>
      <c r="G110" s="281"/>
      <c r="H110" s="124">
        <f>SUM(H111)</f>
        <v>882000</v>
      </c>
    </row>
    <row r="111" spans="1:10" s="10" customFormat="1" x14ac:dyDescent="0.3">
      <c r="A111" s="10" t="s">
        <v>24</v>
      </c>
      <c r="B111" s="10" t="s">
        <v>25</v>
      </c>
      <c r="F111" s="111"/>
      <c r="G111" s="106"/>
      <c r="H111" s="11">
        <f>SUM(H112+H115)</f>
        <v>882000</v>
      </c>
    </row>
    <row r="112" spans="1:10" x14ac:dyDescent="0.3">
      <c r="B112" s="12" t="s">
        <v>173</v>
      </c>
      <c r="D112" s="12" t="s">
        <v>174</v>
      </c>
      <c r="F112" s="108"/>
      <c r="G112" s="108"/>
      <c r="H112" s="13">
        <f>SUM(H113)</f>
        <v>700000</v>
      </c>
    </row>
    <row r="113" spans="1:8" x14ac:dyDescent="0.3">
      <c r="C113" s="12" t="s">
        <v>175</v>
      </c>
      <c r="D113" s="12" t="s">
        <v>176</v>
      </c>
      <c r="F113" s="108"/>
      <c r="G113" s="108"/>
      <c r="H113" s="109">
        <f>SUM(H114)</f>
        <v>700000</v>
      </c>
    </row>
    <row r="114" spans="1:8" x14ac:dyDescent="0.3">
      <c r="F114" s="108" t="s">
        <v>229</v>
      </c>
      <c r="G114" s="108"/>
      <c r="H114" s="109">
        <v>700000</v>
      </c>
    </row>
    <row r="115" spans="1:8" x14ac:dyDescent="0.3">
      <c r="B115" s="12" t="s">
        <v>186</v>
      </c>
      <c r="D115" s="12" t="s">
        <v>187</v>
      </c>
      <c r="F115" s="108"/>
      <c r="G115" s="108"/>
      <c r="H115" s="110">
        <f>SUM(H116)</f>
        <v>182000</v>
      </c>
    </row>
    <row r="116" spans="1:8" x14ac:dyDescent="0.3">
      <c r="C116" s="12" t="s">
        <v>188</v>
      </c>
      <c r="D116" s="12" t="s">
        <v>189</v>
      </c>
      <c r="F116" s="108"/>
      <c r="G116" s="108"/>
      <c r="H116" s="109">
        <f>H113*0.26</f>
        <v>182000</v>
      </c>
    </row>
    <row r="117" spans="1:8" s="10" customFormat="1" ht="30" customHeight="1" x14ac:dyDescent="0.3">
      <c r="A117" s="42" t="s">
        <v>230</v>
      </c>
      <c r="B117" s="32"/>
      <c r="C117" s="32"/>
      <c r="D117" s="32"/>
      <c r="E117" s="32"/>
      <c r="F117" s="117"/>
      <c r="G117" s="125">
        <v>1</v>
      </c>
      <c r="H117" s="124">
        <f>SUM(H118+H124+H126)</f>
        <v>5445955</v>
      </c>
    </row>
    <row r="118" spans="1:8" s="10" customFormat="1" x14ac:dyDescent="0.3">
      <c r="A118" s="10" t="s">
        <v>20</v>
      </c>
      <c r="B118" s="10" t="s">
        <v>142</v>
      </c>
      <c r="F118" s="111"/>
      <c r="G118" s="106"/>
      <c r="H118" s="107">
        <f>SUM(H119)</f>
        <v>3561000</v>
      </c>
    </row>
    <row r="119" spans="1:8" x14ac:dyDescent="0.3">
      <c r="B119" s="12" t="s">
        <v>143</v>
      </c>
      <c r="D119" s="12" t="s">
        <v>144</v>
      </c>
      <c r="F119" s="108"/>
      <c r="G119" s="108"/>
      <c r="H119" s="13">
        <f>SUM(H120:H123)</f>
        <v>3561000</v>
      </c>
    </row>
    <row r="120" spans="1:8" x14ac:dyDescent="0.3">
      <c r="C120" s="12" t="s">
        <v>145</v>
      </c>
      <c r="D120" s="12" t="s">
        <v>146</v>
      </c>
      <c r="F120" s="108"/>
      <c r="G120" s="108"/>
      <c r="H120" s="109">
        <v>3461000</v>
      </c>
    </row>
    <row r="121" spans="1:8" x14ac:dyDescent="0.3">
      <c r="C121" s="12" t="s">
        <v>231</v>
      </c>
      <c r="D121" s="108" t="s">
        <v>232</v>
      </c>
      <c r="F121" s="108"/>
      <c r="G121" s="108"/>
      <c r="H121" s="109">
        <v>50000</v>
      </c>
    </row>
    <row r="122" spans="1:8" x14ac:dyDescent="0.3">
      <c r="C122" s="12" t="s">
        <v>233</v>
      </c>
      <c r="D122" s="108" t="s">
        <v>234</v>
      </c>
      <c r="F122" s="108"/>
      <c r="G122" s="108"/>
      <c r="H122" s="109">
        <v>0</v>
      </c>
    </row>
    <row r="123" spans="1:8" x14ac:dyDescent="0.3">
      <c r="C123" s="12" t="s">
        <v>151</v>
      </c>
      <c r="D123" s="12" t="s">
        <v>152</v>
      </c>
      <c r="F123" s="108"/>
      <c r="G123" s="108"/>
      <c r="H123" s="109">
        <v>50000</v>
      </c>
    </row>
    <row r="124" spans="1:8" s="10" customFormat="1" ht="15.75" customHeight="1" x14ac:dyDescent="0.3">
      <c r="A124" s="10" t="s">
        <v>22</v>
      </c>
      <c r="B124" s="10" t="s">
        <v>158</v>
      </c>
      <c r="F124" s="111"/>
      <c r="G124" s="112"/>
      <c r="H124" s="11">
        <f>SUM(H125)</f>
        <v>551955</v>
      </c>
    </row>
    <row r="125" spans="1:8" x14ac:dyDescent="0.3">
      <c r="D125" s="12" t="s">
        <v>159</v>
      </c>
      <c r="F125" s="108"/>
      <c r="G125" s="108"/>
      <c r="H125" s="109">
        <f>H118*0.155</f>
        <v>551955</v>
      </c>
    </row>
    <row r="126" spans="1:8" s="10" customFormat="1" x14ac:dyDescent="0.3">
      <c r="A126" s="10" t="s">
        <v>24</v>
      </c>
      <c r="B126" s="10" t="s">
        <v>25</v>
      </c>
      <c r="F126" s="111"/>
      <c r="G126" s="106"/>
      <c r="H126" s="11">
        <f>SUM(H127+H129+H134)</f>
        <v>1333000</v>
      </c>
    </row>
    <row r="127" spans="1:8" x14ac:dyDescent="0.3">
      <c r="B127" s="12" t="s">
        <v>160</v>
      </c>
      <c r="D127" s="12" t="s">
        <v>161</v>
      </c>
      <c r="F127" s="113"/>
      <c r="G127" s="113"/>
      <c r="H127" s="13">
        <f>SUM(H128:H128)</f>
        <v>500000</v>
      </c>
    </row>
    <row r="128" spans="1:8" x14ac:dyDescent="0.3">
      <c r="C128" s="12" t="s">
        <v>165</v>
      </c>
      <c r="D128" s="12" t="s">
        <v>227</v>
      </c>
      <c r="F128" s="108"/>
      <c r="G128" s="108"/>
      <c r="H128" s="109">
        <v>500000</v>
      </c>
    </row>
    <row r="129" spans="1:10" x14ac:dyDescent="0.3">
      <c r="B129" s="12" t="s">
        <v>173</v>
      </c>
      <c r="D129" s="12" t="s">
        <v>174</v>
      </c>
      <c r="F129" s="108"/>
      <c r="G129" s="108"/>
      <c r="H129" s="13">
        <f>SUM(H130+H131)</f>
        <v>500000</v>
      </c>
    </row>
    <row r="130" spans="1:10" x14ac:dyDescent="0.3">
      <c r="C130" s="12" t="s">
        <v>177</v>
      </c>
      <c r="D130" s="12" t="s">
        <v>235</v>
      </c>
      <c r="F130" s="108"/>
      <c r="G130" s="108"/>
      <c r="H130" s="109">
        <v>150000</v>
      </c>
    </row>
    <row r="131" spans="1:10" x14ac:dyDescent="0.3">
      <c r="C131" s="12" t="s">
        <v>179</v>
      </c>
      <c r="D131" s="12" t="s">
        <v>180</v>
      </c>
      <c r="F131" s="108"/>
      <c r="G131" s="108"/>
      <c r="H131" s="109">
        <f>SUM(H132:H133)</f>
        <v>350000</v>
      </c>
    </row>
    <row r="132" spans="1:10" x14ac:dyDescent="0.3">
      <c r="F132" s="108" t="s">
        <v>215</v>
      </c>
      <c r="G132" s="108"/>
      <c r="H132" s="114">
        <v>200000</v>
      </c>
    </row>
    <row r="133" spans="1:10" x14ac:dyDescent="0.3">
      <c r="F133" s="108" t="s">
        <v>181</v>
      </c>
      <c r="G133" s="108"/>
      <c r="H133" s="114">
        <v>150000</v>
      </c>
    </row>
    <row r="134" spans="1:10" x14ac:dyDescent="0.3">
      <c r="B134" s="12" t="s">
        <v>186</v>
      </c>
      <c r="D134" s="12" t="s">
        <v>187</v>
      </c>
      <c r="F134" s="108"/>
      <c r="G134" s="108"/>
      <c r="H134" s="13">
        <f>SUM(H135)</f>
        <v>333000</v>
      </c>
    </row>
    <row r="135" spans="1:10" x14ac:dyDescent="0.3">
      <c r="C135" s="12" t="s">
        <v>188</v>
      </c>
      <c r="D135" s="12" t="s">
        <v>189</v>
      </c>
      <c r="F135" s="108"/>
      <c r="G135" s="108"/>
      <c r="H135" s="114">
        <v>333000</v>
      </c>
    </row>
    <row r="136" spans="1:10" s="10" customFormat="1" ht="30" customHeight="1" x14ac:dyDescent="0.3">
      <c r="A136" s="42" t="s">
        <v>119</v>
      </c>
      <c r="B136" s="32"/>
      <c r="C136" s="32"/>
      <c r="D136" s="32"/>
      <c r="E136" s="32"/>
      <c r="F136" s="117"/>
      <c r="G136" s="125">
        <v>4</v>
      </c>
      <c r="H136" s="118">
        <f>SUM(H137+H141+H143)</f>
        <v>3349750</v>
      </c>
    </row>
    <row r="137" spans="1:10" s="10" customFormat="1" x14ac:dyDescent="0.3">
      <c r="A137" s="10" t="s">
        <v>20</v>
      </c>
      <c r="B137" s="14" t="s">
        <v>142</v>
      </c>
      <c r="C137" s="14"/>
      <c r="D137" s="14"/>
      <c r="E137" s="14"/>
      <c r="F137" s="106"/>
      <c r="G137" s="106"/>
      <c r="H137" s="107">
        <f>SUM(H138)</f>
        <v>2987000</v>
      </c>
      <c r="J137" s="34"/>
    </row>
    <row r="138" spans="1:10" x14ac:dyDescent="0.3">
      <c r="B138" s="12" t="s">
        <v>143</v>
      </c>
      <c r="D138" s="12" t="s">
        <v>144</v>
      </c>
      <c r="F138" s="108"/>
      <c r="G138" s="108"/>
      <c r="H138" s="110">
        <f>SUM(H139:H140)</f>
        <v>2987000</v>
      </c>
    </row>
    <row r="139" spans="1:10" x14ac:dyDescent="0.3">
      <c r="C139" s="12" t="s">
        <v>145</v>
      </c>
      <c r="D139" s="12" t="s">
        <v>146</v>
      </c>
      <c r="F139" s="108"/>
      <c r="G139" s="108"/>
      <c r="H139" s="109">
        <f>979000*3</f>
        <v>2937000</v>
      </c>
    </row>
    <row r="140" spans="1:10" x14ac:dyDescent="0.3">
      <c r="C140" s="12" t="s">
        <v>151</v>
      </c>
      <c r="D140" s="12" t="s">
        <v>152</v>
      </c>
      <c r="F140" s="108"/>
      <c r="G140" s="108"/>
      <c r="H140" s="109">
        <v>50000</v>
      </c>
    </row>
    <row r="141" spans="1:10" s="10" customFormat="1" ht="15.75" customHeight="1" x14ac:dyDescent="0.3">
      <c r="A141" s="10" t="s">
        <v>22</v>
      </c>
      <c r="B141" s="10" t="s">
        <v>158</v>
      </c>
      <c r="F141" s="111"/>
      <c r="G141" s="112"/>
      <c r="H141" s="107">
        <f>SUM(H142)</f>
        <v>235750</v>
      </c>
    </row>
    <row r="142" spans="1:10" x14ac:dyDescent="0.3">
      <c r="D142" s="12" t="s">
        <v>159</v>
      </c>
      <c r="F142" s="108"/>
      <c r="G142" s="108"/>
      <c r="H142" s="109">
        <f>228000+7750</f>
        <v>235750</v>
      </c>
    </row>
    <row r="143" spans="1:10" s="10" customFormat="1" ht="16.2" customHeight="1" x14ac:dyDescent="0.3">
      <c r="A143" s="10" t="s">
        <v>24</v>
      </c>
      <c r="B143" s="10" t="s">
        <v>25</v>
      </c>
      <c r="F143" s="111"/>
      <c r="G143" s="106"/>
      <c r="H143" s="11">
        <f>H144+H146</f>
        <v>127000</v>
      </c>
    </row>
    <row r="144" spans="1:10" s="10" customFormat="1" x14ac:dyDescent="0.3">
      <c r="A144" s="4"/>
      <c r="B144" s="12" t="s">
        <v>160</v>
      </c>
      <c r="C144" s="12"/>
      <c r="D144" s="12" t="s">
        <v>161</v>
      </c>
      <c r="E144" s="12"/>
      <c r="F144" s="113"/>
      <c r="G144" s="113"/>
      <c r="H144" s="13">
        <v>100000</v>
      </c>
    </row>
    <row r="145" spans="1:9" x14ac:dyDescent="0.3">
      <c r="C145" s="12" t="s">
        <v>165</v>
      </c>
      <c r="D145" s="12" t="s">
        <v>227</v>
      </c>
      <c r="F145" s="108"/>
      <c r="G145" s="108"/>
      <c r="H145" s="109">
        <v>100000</v>
      </c>
    </row>
    <row r="146" spans="1:9" x14ac:dyDescent="0.3">
      <c r="B146" s="12" t="s">
        <v>186</v>
      </c>
      <c r="D146" s="12" t="s">
        <v>187</v>
      </c>
      <c r="F146" s="108"/>
      <c r="G146" s="108"/>
      <c r="H146" s="13">
        <f>SUM(H147)</f>
        <v>27000</v>
      </c>
    </row>
    <row r="147" spans="1:9" ht="16.8" customHeight="1" x14ac:dyDescent="0.3">
      <c r="C147" s="12" t="s">
        <v>188</v>
      </c>
      <c r="D147" s="12" t="s">
        <v>189</v>
      </c>
      <c r="F147" s="108"/>
      <c r="G147" s="108"/>
      <c r="H147" s="109">
        <v>27000</v>
      </c>
      <c r="I147" s="35"/>
    </row>
    <row r="148" spans="1:9" s="10" customFormat="1" ht="30" customHeight="1" x14ac:dyDescent="0.3">
      <c r="A148" s="42" t="s">
        <v>236</v>
      </c>
      <c r="B148" s="32"/>
      <c r="C148" s="32"/>
      <c r="D148" s="32"/>
      <c r="E148" s="32"/>
      <c r="F148" s="117"/>
      <c r="G148" s="281"/>
      <c r="H148" s="124">
        <f>SUM(H149,H157)</f>
        <v>2358000</v>
      </c>
    </row>
    <row r="149" spans="1:9" x14ac:dyDescent="0.3">
      <c r="A149" s="10" t="s">
        <v>24</v>
      </c>
      <c r="B149" s="10" t="s">
        <v>25</v>
      </c>
      <c r="C149" s="10"/>
      <c r="D149" s="10"/>
      <c r="E149" s="10"/>
      <c r="F149" s="111"/>
      <c r="G149" s="106"/>
      <c r="H149" s="107">
        <f>H150+H152+H155</f>
        <v>0</v>
      </c>
    </row>
    <row r="150" spans="1:9" x14ac:dyDescent="0.3">
      <c r="B150" s="12" t="s">
        <v>160</v>
      </c>
      <c r="D150" s="12" t="s">
        <v>161</v>
      </c>
      <c r="F150" s="108"/>
      <c r="G150" s="108"/>
      <c r="H150" s="109">
        <f>H151</f>
        <v>0</v>
      </c>
    </row>
    <row r="151" spans="1:9" ht="18" customHeight="1" x14ac:dyDescent="0.3">
      <c r="C151" s="12" t="s">
        <v>165</v>
      </c>
      <c r="D151" s="12" t="s">
        <v>327</v>
      </c>
      <c r="F151" s="108"/>
      <c r="G151" s="108"/>
      <c r="H151" s="109">
        <v>0</v>
      </c>
    </row>
    <row r="152" spans="1:9" ht="17.399999999999999" customHeight="1" x14ac:dyDescent="0.3">
      <c r="B152" s="12" t="s">
        <v>173</v>
      </c>
      <c r="D152" s="12" t="s">
        <v>174</v>
      </c>
      <c r="F152" s="108"/>
      <c r="G152" s="108"/>
      <c r="H152" s="13">
        <f>H153</f>
        <v>0</v>
      </c>
    </row>
    <row r="153" spans="1:9" x14ac:dyDescent="0.3">
      <c r="C153" s="12" t="s">
        <v>179</v>
      </c>
      <c r="D153" s="12" t="s">
        <v>180</v>
      </c>
      <c r="F153" s="108"/>
      <c r="G153" s="108"/>
      <c r="H153" s="109">
        <f>SUM(H154:H154)</f>
        <v>0</v>
      </c>
    </row>
    <row r="154" spans="1:9" x14ac:dyDescent="0.3">
      <c r="F154" s="108" t="s">
        <v>215</v>
      </c>
      <c r="G154" s="108"/>
      <c r="H154" s="114">
        <v>0</v>
      </c>
    </row>
    <row r="155" spans="1:9" x14ac:dyDescent="0.3">
      <c r="B155" s="12" t="s">
        <v>186</v>
      </c>
      <c r="D155" s="12" t="s">
        <v>187</v>
      </c>
      <c r="F155" s="108"/>
      <c r="G155" s="108"/>
      <c r="H155" s="109">
        <f>H156</f>
        <v>0</v>
      </c>
      <c r="I155" s="126"/>
    </row>
    <row r="156" spans="1:9" x14ac:dyDescent="0.3">
      <c r="C156" s="12" t="s">
        <v>188</v>
      </c>
      <c r="D156" s="12" t="s">
        <v>189</v>
      </c>
      <c r="F156" s="108"/>
      <c r="G156" s="108"/>
      <c r="H156" s="109">
        <v>0</v>
      </c>
      <c r="I156" s="127"/>
    </row>
    <row r="157" spans="1:9" x14ac:dyDescent="0.3">
      <c r="A157" s="10" t="s">
        <v>26</v>
      </c>
      <c r="B157" s="10" t="s">
        <v>237</v>
      </c>
      <c r="C157" s="10"/>
      <c r="D157" s="10"/>
      <c r="E157" s="10"/>
      <c r="F157" s="111"/>
      <c r="G157" s="128"/>
      <c r="H157" s="11">
        <f>SUM(H158)</f>
        <v>2358000</v>
      </c>
      <c r="I157" s="129"/>
    </row>
    <row r="158" spans="1:9" x14ac:dyDescent="0.3">
      <c r="B158" s="12" t="s">
        <v>238</v>
      </c>
      <c r="D158" s="12" t="s">
        <v>239</v>
      </c>
      <c r="F158" s="108"/>
      <c r="G158" s="114"/>
      <c r="H158" s="109">
        <f>H159</f>
        <v>2358000</v>
      </c>
      <c r="I158" s="126"/>
    </row>
    <row r="159" spans="1:9" x14ac:dyDescent="0.3">
      <c r="F159" s="108" t="s">
        <v>240</v>
      </c>
      <c r="G159" s="114"/>
      <c r="H159" s="109">
        <f>2958000-600000</f>
        <v>2358000</v>
      </c>
      <c r="I159" s="126"/>
    </row>
    <row r="160" spans="1:9" ht="30" customHeight="1" x14ac:dyDescent="0.3">
      <c r="A160" s="42" t="s">
        <v>241</v>
      </c>
      <c r="B160" s="32"/>
      <c r="C160" s="32"/>
      <c r="D160" s="32"/>
      <c r="E160" s="32"/>
      <c r="F160" s="117"/>
      <c r="G160" s="281"/>
      <c r="H160" s="118">
        <f>SUM(H161)</f>
        <v>0</v>
      </c>
      <c r="I160" s="126"/>
    </row>
    <row r="161" spans="1:9" x14ac:dyDescent="0.3">
      <c r="A161" s="10" t="s">
        <v>24</v>
      </c>
      <c r="B161" s="10" t="s">
        <v>25</v>
      </c>
      <c r="C161" s="10"/>
      <c r="D161" s="10"/>
      <c r="E161" s="10"/>
      <c r="F161" s="111"/>
      <c r="G161" s="106"/>
      <c r="H161" s="107">
        <f>SUM(H162,H164,H167)</f>
        <v>0</v>
      </c>
      <c r="I161" s="129"/>
    </row>
    <row r="162" spans="1:9" x14ac:dyDescent="0.3">
      <c r="B162" s="12" t="s">
        <v>160</v>
      </c>
      <c r="D162" s="12" t="s">
        <v>161</v>
      </c>
      <c r="F162" s="108"/>
      <c r="G162" s="108"/>
      <c r="H162" s="110">
        <f>H163</f>
        <v>0</v>
      </c>
      <c r="I162" s="126"/>
    </row>
    <row r="163" spans="1:9" s="10" customFormat="1" ht="18.600000000000001" customHeight="1" x14ac:dyDescent="0.3">
      <c r="A163" s="4"/>
      <c r="B163" s="12"/>
      <c r="C163" s="12" t="s">
        <v>165</v>
      </c>
      <c r="D163" s="12" t="s">
        <v>227</v>
      </c>
      <c r="E163" s="12"/>
      <c r="F163" s="108"/>
      <c r="G163" s="108"/>
      <c r="H163" s="109">
        <v>0</v>
      </c>
    </row>
    <row r="164" spans="1:9" s="10" customFormat="1" x14ac:dyDescent="0.3">
      <c r="A164" s="4"/>
      <c r="B164" s="12" t="s">
        <v>173</v>
      </c>
      <c r="C164" s="12"/>
      <c r="D164" s="12" t="s">
        <v>174</v>
      </c>
      <c r="E164" s="12"/>
      <c r="F164" s="12"/>
      <c r="G164" s="130"/>
      <c r="H164" s="110">
        <v>0</v>
      </c>
    </row>
    <row r="165" spans="1:9" x14ac:dyDescent="0.3">
      <c r="C165" s="12" t="s">
        <v>179</v>
      </c>
      <c r="D165" s="12" t="s">
        <v>180</v>
      </c>
      <c r="F165" s="108"/>
      <c r="G165" s="108"/>
      <c r="H165" s="109">
        <f>H166</f>
        <v>0</v>
      </c>
    </row>
    <row r="166" spans="1:9" x14ac:dyDescent="0.3">
      <c r="F166" s="108" t="s">
        <v>215</v>
      </c>
      <c r="G166" s="108"/>
      <c r="H166" s="109">
        <v>0</v>
      </c>
    </row>
    <row r="167" spans="1:9" x14ac:dyDescent="0.3">
      <c r="B167" s="12" t="s">
        <v>186</v>
      </c>
      <c r="D167" s="12" t="s">
        <v>187</v>
      </c>
      <c r="F167" s="108"/>
      <c r="G167" s="108"/>
      <c r="H167" s="110">
        <f>SUM(H168)</f>
        <v>0</v>
      </c>
    </row>
    <row r="168" spans="1:9" x14ac:dyDescent="0.3">
      <c r="C168" s="12" t="s">
        <v>188</v>
      </c>
      <c r="D168" s="12" t="s">
        <v>189</v>
      </c>
      <c r="F168" s="108"/>
      <c r="G168" s="108"/>
      <c r="H168" s="109">
        <v>0</v>
      </c>
    </row>
    <row r="169" spans="1:9" ht="30" customHeight="1" x14ac:dyDescent="0.3">
      <c r="A169" s="42" t="s">
        <v>242</v>
      </c>
      <c r="B169" s="32"/>
      <c r="C169" s="32"/>
      <c r="D169" s="32"/>
      <c r="E169" s="32"/>
      <c r="F169" s="117"/>
      <c r="G169" s="281"/>
      <c r="H169" s="124">
        <f>SUM(H170)</f>
        <v>130000</v>
      </c>
    </row>
    <row r="170" spans="1:9" x14ac:dyDescent="0.3">
      <c r="A170" s="10" t="s">
        <v>24</v>
      </c>
      <c r="B170" s="10" t="s">
        <v>25</v>
      </c>
      <c r="C170" s="10"/>
      <c r="D170" s="10"/>
      <c r="E170" s="10"/>
      <c r="F170" s="111"/>
      <c r="G170" s="106"/>
      <c r="H170" s="107">
        <f>SUM(H174+H181+H177+H171)</f>
        <v>130000</v>
      </c>
    </row>
    <row r="171" spans="1:9" x14ac:dyDescent="0.3">
      <c r="B171" s="12" t="s">
        <v>160</v>
      </c>
      <c r="D171" s="12" t="s">
        <v>161</v>
      </c>
      <c r="F171" s="113"/>
      <c r="G171" s="113"/>
      <c r="H171" s="13">
        <f>SUM(H172)</f>
        <v>10000</v>
      </c>
    </row>
    <row r="172" spans="1:9" x14ac:dyDescent="0.3">
      <c r="C172" s="12" t="s">
        <v>165</v>
      </c>
      <c r="D172" s="12" t="s">
        <v>227</v>
      </c>
      <c r="F172" s="108"/>
      <c r="G172" s="108"/>
      <c r="H172" s="109">
        <f>SUM(H173:H173)</f>
        <v>10000</v>
      </c>
    </row>
    <row r="173" spans="1:9" x14ac:dyDescent="0.3">
      <c r="A173" s="10"/>
      <c r="B173" s="14"/>
      <c r="C173" s="14"/>
      <c r="D173" s="123"/>
      <c r="E173" s="123"/>
      <c r="F173" s="108" t="s">
        <v>223</v>
      </c>
      <c r="G173" s="108"/>
      <c r="H173" s="109">
        <v>10000</v>
      </c>
    </row>
    <row r="174" spans="1:9" x14ac:dyDescent="0.3">
      <c r="B174" s="12" t="s">
        <v>167</v>
      </c>
      <c r="D174" s="12" t="s">
        <v>168</v>
      </c>
      <c r="F174" s="108"/>
      <c r="G174" s="108"/>
      <c r="H174" s="110">
        <f>SUM(H175)</f>
        <v>50000</v>
      </c>
    </row>
    <row r="175" spans="1:9" x14ac:dyDescent="0.3">
      <c r="C175" s="12" t="s">
        <v>169</v>
      </c>
      <c r="D175" s="12" t="s">
        <v>170</v>
      </c>
      <c r="F175" s="108"/>
      <c r="G175" s="108"/>
      <c r="H175" s="109">
        <f>SUM(H176:H176)</f>
        <v>50000</v>
      </c>
    </row>
    <row r="176" spans="1:9" x14ac:dyDescent="0.3">
      <c r="F176" s="108" t="s">
        <v>243</v>
      </c>
      <c r="G176" s="108"/>
      <c r="H176" s="109">
        <v>50000</v>
      </c>
    </row>
    <row r="177" spans="1:8" s="10" customFormat="1" ht="18" customHeight="1" x14ac:dyDescent="0.3">
      <c r="A177" s="4"/>
      <c r="B177" s="12" t="s">
        <v>173</v>
      </c>
      <c r="C177" s="12"/>
      <c r="D177" s="12" t="s">
        <v>174</v>
      </c>
      <c r="E177" s="12"/>
      <c r="F177" s="108"/>
      <c r="G177" s="108"/>
      <c r="H177" s="13">
        <f>SUM(H178+H179)</f>
        <v>45000</v>
      </c>
    </row>
    <row r="178" spans="1:8" s="10" customFormat="1" x14ac:dyDescent="0.3">
      <c r="A178" s="4"/>
      <c r="B178" s="12"/>
      <c r="C178" s="12" t="s">
        <v>177</v>
      </c>
      <c r="D178" s="12" t="s">
        <v>235</v>
      </c>
      <c r="E178" s="12"/>
      <c r="F178" s="108"/>
      <c r="G178" s="108"/>
      <c r="H178" s="109">
        <v>40000</v>
      </c>
    </row>
    <row r="179" spans="1:8" x14ac:dyDescent="0.3">
      <c r="C179" s="12" t="s">
        <v>179</v>
      </c>
      <c r="D179" s="12" t="s">
        <v>180</v>
      </c>
      <c r="F179" s="108"/>
      <c r="G179" s="108"/>
      <c r="H179" s="131">
        <v>5000</v>
      </c>
    </row>
    <row r="180" spans="1:8" x14ac:dyDescent="0.3">
      <c r="F180" s="108" t="s">
        <v>215</v>
      </c>
      <c r="G180" s="108"/>
      <c r="H180" s="109">
        <v>5000</v>
      </c>
    </row>
    <row r="181" spans="1:8" x14ac:dyDescent="0.3">
      <c r="B181" s="12" t="s">
        <v>186</v>
      </c>
      <c r="D181" s="12" t="s">
        <v>187</v>
      </c>
      <c r="F181" s="108"/>
      <c r="G181" s="108"/>
      <c r="H181" s="110">
        <f>SUM(H182)</f>
        <v>25000</v>
      </c>
    </row>
    <row r="182" spans="1:8" x14ac:dyDescent="0.3">
      <c r="C182" s="12" t="s">
        <v>188</v>
      </c>
      <c r="D182" s="12" t="s">
        <v>189</v>
      </c>
      <c r="F182" s="108"/>
      <c r="G182" s="108"/>
      <c r="H182" s="109">
        <v>25000</v>
      </c>
    </row>
    <row r="183" spans="1:8" ht="30" customHeight="1" x14ac:dyDescent="0.3">
      <c r="A183" s="42" t="s">
        <v>244</v>
      </c>
      <c r="B183" s="32"/>
      <c r="C183" s="32"/>
      <c r="D183" s="32"/>
      <c r="E183" s="32"/>
      <c r="F183" s="117"/>
      <c r="G183" s="281"/>
      <c r="H183" s="124">
        <f>SUM(H184+H192+H194+H205)</f>
        <v>5888425</v>
      </c>
    </row>
    <row r="184" spans="1:8" s="10" customFormat="1" x14ac:dyDescent="0.3">
      <c r="A184" s="10" t="s">
        <v>20</v>
      </c>
      <c r="B184" s="10" t="s">
        <v>142</v>
      </c>
      <c r="F184" s="111"/>
      <c r="G184" s="106"/>
      <c r="H184" s="107">
        <f>SUM(H185+H190)</f>
        <v>1635000</v>
      </c>
    </row>
    <row r="185" spans="1:8" x14ac:dyDescent="0.3">
      <c r="B185" s="12" t="s">
        <v>143</v>
      </c>
      <c r="D185" s="12" t="s">
        <v>144</v>
      </c>
      <c r="F185" s="108"/>
      <c r="G185" s="108"/>
      <c r="H185" s="13">
        <f>SUM(H186:H189)</f>
        <v>1435000</v>
      </c>
    </row>
    <row r="186" spans="1:8" x14ac:dyDescent="0.3">
      <c r="C186" s="12" t="s">
        <v>145</v>
      </c>
      <c r="D186" s="12" t="s">
        <v>146</v>
      </c>
      <c r="F186" s="108"/>
      <c r="G186" s="108"/>
      <c r="H186" s="109">
        <v>1385000</v>
      </c>
    </row>
    <row r="187" spans="1:8" x14ac:dyDescent="0.3">
      <c r="C187" s="12" t="s">
        <v>231</v>
      </c>
      <c r="D187" s="108" t="s">
        <v>232</v>
      </c>
      <c r="F187" s="108"/>
      <c r="G187" s="108"/>
      <c r="H187" s="109">
        <v>30000</v>
      </c>
    </row>
    <row r="188" spans="1:8" x14ac:dyDescent="0.3">
      <c r="C188" s="12" t="s">
        <v>233</v>
      </c>
      <c r="D188" s="108" t="s">
        <v>234</v>
      </c>
      <c r="F188" s="108"/>
      <c r="G188" s="108"/>
      <c r="H188" s="109">
        <v>0</v>
      </c>
    </row>
    <row r="189" spans="1:8" x14ac:dyDescent="0.3">
      <c r="C189" s="12" t="s">
        <v>151</v>
      </c>
      <c r="D189" s="12" t="s">
        <v>152</v>
      </c>
      <c r="F189" s="108"/>
      <c r="G189" s="108"/>
      <c r="H189" s="109">
        <v>20000</v>
      </c>
    </row>
    <row r="190" spans="1:8" x14ac:dyDescent="0.3">
      <c r="B190" s="12" t="s">
        <v>153</v>
      </c>
      <c r="D190" s="12" t="s">
        <v>154</v>
      </c>
      <c r="F190" s="108"/>
      <c r="G190" s="108"/>
      <c r="H190" s="110">
        <f>SUM(H191)</f>
        <v>200000</v>
      </c>
    </row>
    <row r="191" spans="1:8" x14ac:dyDescent="0.3">
      <c r="C191" s="12" t="s">
        <v>212</v>
      </c>
      <c r="D191" s="12" t="s">
        <v>324</v>
      </c>
      <c r="F191" s="108"/>
      <c r="G191" s="108"/>
      <c r="H191" s="109">
        <v>200000</v>
      </c>
    </row>
    <row r="192" spans="1:8" s="10" customFormat="1" ht="15.75" customHeight="1" x14ac:dyDescent="0.3">
      <c r="A192" s="10" t="s">
        <v>22</v>
      </c>
      <c r="B192" s="10" t="s">
        <v>158</v>
      </c>
      <c r="F192" s="111"/>
      <c r="G192" s="112"/>
      <c r="H192" s="11">
        <f>SUM(H193)</f>
        <v>253425</v>
      </c>
    </row>
    <row r="193" spans="1:9" x14ac:dyDescent="0.3">
      <c r="D193" s="12" t="s">
        <v>159</v>
      </c>
      <c r="F193" s="108"/>
      <c r="G193" s="108"/>
      <c r="H193" s="109">
        <f>(H185+H190)*0.155</f>
        <v>253425</v>
      </c>
    </row>
    <row r="194" spans="1:9" x14ac:dyDescent="0.3">
      <c r="A194" s="10" t="s">
        <v>24</v>
      </c>
      <c r="B194" s="10" t="s">
        <v>25</v>
      </c>
      <c r="C194" s="10"/>
      <c r="D194" s="10"/>
      <c r="E194" s="10"/>
      <c r="F194" s="111"/>
      <c r="G194" s="106"/>
      <c r="H194" s="107">
        <f>SUM(H195+H198+H203)</f>
        <v>4000000</v>
      </c>
    </row>
    <row r="195" spans="1:9" x14ac:dyDescent="0.3">
      <c r="B195" s="12" t="s">
        <v>160</v>
      </c>
      <c r="D195" s="12" t="s">
        <v>161</v>
      </c>
      <c r="F195" s="113"/>
      <c r="G195" s="113"/>
      <c r="H195" s="110">
        <f>SUM(+H196)</f>
        <v>1500000</v>
      </c>
    </row>
    <row r="196" spans="1:9" x14ac:dyDescent="0.3">
      <c r="C196" s="12" t="s">
        <v>165</v>
      </c>
      <c r="D196" s="12" t="s">
        <v>227</v>
      </c>
      <c r="F196" s="108"/>
      <c r="G196" s="108"/>
      <c r="H196" s="109">
        <f>SUM(H197:H197)</f>
        <v>1500000</v>
      </c>
    </row>
    <row r="197" spans="1:9" x14ac:dyDescent="0.3">
      <c r="A197" s="10"/>
      <c r="B197" s="14"/>
      <c r="C197" s="14"/>
      <c r="D197" s="123"/>
      <c r="E197" s="123"/>
      <c r="F197" s="108" t="s">
        <v>223</v>
      </c>
      <c r="G197" s="108"/>
      <c r="H197" s="109">
        <v>1500000</v>
      </c>
    </row>
    <row r="198" spans="1:9" x14ac:dyDescent="0.3">
      <c r="B198" s="12" t="s">
        <v>173</v>
      </c>
      <c r="D198" s="12" t="s">
        <v>174</v>
      </c>
      <c r="F198" s="108"/>
      <c r="G198" s="108"/>
      <c r="H198" s="110">
        <f>SUM(H199+H200+H201)</f>
        <v>1900000</v>
      </c>
    </row>
    <row r="199" spans="1:9" s="10" customFormat="1" x14ac:dyDescent="0.3">
      <c r="A199" s="4"/>
      <c r="B199" s="12"/>
      <c r="C199" s="12" t="s">
        <v>175</v>
      </c>
      <c r="D199" s="12" t="s">
        <v>176</v>
      </c>
      <c r="E199" s="12"/>
      <c r="F199" s="108"/>
      <c r="G199" s="108"/>
      <c r="H199" s="109">
        <v>600000</v>
      </c>
    </row>
    <row r="200" spans="1:9" x14ac:dyDescent="0.3">
      <c r="C200" s="12" t="s">
        <v>177</v>
      </c>
      <c r="D200" s="12" t="s">
        <v>178</v>
      </c>
      <c r="F200" s="108"/>
      <c r="G200" s="108"/>
      <c r="H200" s="109">
        <v>300000</v>
      </c>
    </row>
    <row r="201" spans="1:9" x14ac:dyDescent="0.3">
      <c r="C201" s="12" t="s">
        <v>179</v>
      </c>
      <c r="D201" s="12" t="s">
        <v>180</v>
      </c>
      <c r="F201" s="108"/>
      <c r="G201" s="108"/>
      <c r="H201" s="109">
        <f>H202</f>
        <v>1000000</v>
      </c>
    </row>
    <row r="202" spans="1:9" s="10" customFormat="1" ht="27" customHeight="1" x14ac:dyDescent="0.3">
      <c r="A202" s="4"/>
      <c r="B202" s="12"/>
      <c r="C202" s="12"/>
      <c r="D202" s="12"/>
      <c r="E202" s="12"/>
      <c r="F202" s="108" t="s">
        <v>215</v>
      </c>
      <c r="G202" s="108"/>
      <c r="H202" s="109">
        <v>1000000</v>
      </c>
      <c r="I202" s="4"/>
    </row>
    <row r="203" spans="1:9" s="10" customFormat="1" x14ac:dyDescent="0.3">
      <c r="A203" s="4"/>
      <c r="B203" s="12" t="s">
        <v>186</v>
      </c>
      <c r="C203" s="12"/>
      <c r="D203" s="12" t="s">
        <v>187</v>
      </c>
      <c r="E203" s="12"/>
      <c r="F203" s="108"/>
      <c r="G203" s="108"/>
      <c r="H203" s="110">
        <f>SUM(H204)</f>
        <v>600000</v>
      </c>
      <c r="I203" s="132"/>
    </row>
    <row r="204" spans="1:9" x14ac:dyDescent="0.3">
      <c r="C204" s="12" t="s">
        <v>188</v>
      </c>
      <c r="D204" s="12" t="s">
        <v>189</v>
      </c>
      <c r="G204" s="130"/>
      <c r="H204" s="35">
        <v>600000</v>
      </c>
      <c r="I204" s="129"/>
    </row>
    <row r="205" spans="1:9" x14ac:dyDescent="0.3">
      <c r="A205" s="10" t="s">
        <v>33</v>
      </c>
      <c r="B205" s="10" t="s">
        <v>34</v>
      </c>
      <c r="C205" s="10"/>
      <c r="D205" s="10"/>
      <c r="E205" s="10"/>
      <c r="F205" s="111"/>
      <c r="G205" s="122"/>
      <c r="H205" s="107">
        <f>SUM(H206:H207)</f>
        <v>0</v>
      </c>
      <c r="I205" s="126"/>
    </row>
    <row r="206" spans="1:9" s="10" customFormat="1" ht="14.25" customHeight="1" x14ac:dyDescent="0.3">
      <c r="A206" s="4"/>
      <c r="B206" s="12" t="s">
        <v>220</v>
      </c>
      <c r="C206" s="12"/>
      <c r="D206" s="12" t="s">
        <v>245</v>
      </c>
      <c r="E206" s="12"/>
      <c r="F206" s="108"/>
      <c r="G206" s="79"/>
      <c r="H206" s="109">
        <v>0</v>
      </c>
      <c r="I206" s="4"/>
    </row>
    <row r="207" spans="1:9" s="10" customFormat="1" x14ac:dyDescent="0.3">
      <c r="A207" s="4"/>
      <c r="B207" s="12" t="s">
        <v>221</v>
      </c>
      <c r="C207" s="12"/>
      <c r="D207" s="12" t="s">
        <v>222</v>
      </c>
      <c r="E207" s="12"/>
      <c r="F207" s="108"/>
      <c r="G207" s="79"/>
      <c r="H207" s="109">
        <f>H206*0.27</f>
        <v>0</v>
      </c>
      <c r="I207" s="132"/>
    </row>
    <row r="208" spans="1:9" ht="30" customHeight="1" x14ac:dyDescent="0.3">
      <c r="A208" s="42" t="s">
        <v>246</v>
      </c>
      <c r="B208" s="32"/>
      <c r="C208" s="32"/>
      <c r="D208" s="32"/>
      <c r="E208" s="32"/>
      <c r="F208" s="117"/>
      <c r="G208" s="281"/>
      <c r="H208" s="118">
        <f>SUM(H209)</f>
        <v>20000</v>
      </c>
      <c r="I208" s="129"/>
    </row>
    <row r="209" spans="1:9" x14ac:dyDescent="0.3">
      <c r="A209" s="10" t="s">
        <v>28</v>
      </c>
      <c r="B209" s="10" t="s">
        <v>29</v>
      </c>
      <c r="C209" s="10"/>
      <c r="D209" s="10"/>
      <c r="E209" s="10"/>
      <c r="F209" s="111"/>
      <c r="G209" s="106"/>
      <c r="H209" s="107">
        <f>SUM(H210)</f>
        <v>20000</v>
      </c>
      <c r="I209" s="126"/>
    </row>
    <row r="210" spans="1:9" s="10" customFormat="1" ht="21.15" customHeight="1" x14ac:dyDescent="0.3">
      <c r="A210" s="4"/>
      <c r="B210" s="12"/>
      <c r="C210" s="12" t="s">
        <v>196</v>
      </c>
      <c r="D210" s="12" t="s">
        <v>197</v>
      </c>
      <c r="E210" s="12"/>
      <c r="F210" s="108"/>
      <c r="G210" s="79"/>
      <c r="H210" s="109">
        <f>SUM(H211)</f>
        <v>20000</v>
      </c>
      <c r="I210" s="4"/>
    </row>
    <row r="211" spans="1:9" s="10" customFormat="1" x14ac:dyDescent="0.3">
      <c r="A211" s="4"/>
      <c r="B211" s="12"/>
      <c r="C211" s="12"/>
      <c r="D211" s="12"/>
      <c r="E211" s="12"/>
      <c r="F211" s="108" t="s">
        <v>247</v>
      </c>
      <c r="G211" s="79"/>
      <c r="H211" s="109">
        <v>20000</v>
      </c>
      <c r="I211" s="132"/>
    </row>
    <row r="212" spans="1:9" ht="30" customHeight="1" x14ac:dyDescent="0.3">
      <c r="A212" s="42" t="s">
        <v>248</v>
      </c>
      <c r="B212" s="32"/>
      <c r="C212" s="32"/>
      <c r="D212" s="32"/>
      <c r="E212" s="32"/>
      <c r="F212" s="117"/>
      <c r="G212" s="281"/>
      <c r="H212" s="118">
        <f>SUM(H213)</f>
        <v>50000</v>
      </c>
      <c r="I212" s="129"/>
    </row>
    <row r="213" spans="1:9" x14ac:dyDescent="0.3">
      <c r="A213" s="10" t="s">
        <v>28</v>
      </c>
      <c r="B213" s="10" t="s">
        <v>29</v>
      </c>
      <c r="C213" s="10"/>
      <c r="D213" s="10"/>
      <c r="E213" s="10"/>
      <c r="F213" s="111"/>
      <c r="G213" s="106"/>
      <c r="H213" s="107">
        <f>SUM(H214)</f>
        <v>50000</v>
      </c>
      <c r="I213" s="126"/>
    </row>
    <row r="214" spans="1:9" x14ac:dyDescent="0.3">
      <c r="C214" s="12" t="s">
        <v>196</v>
      </c>
      <c r="D214" s="12" t="s">
        <v>197</v>
      </c>
      <c r="F214" s="108"/>
      <c r="G214" s="79"/>
      <c r="H214" s="109">
        <f>SUM(H215)</f>
        <v>50000</v>
      </c>
      <c r="I214" s="133"/>
    </row>
    <row r="215" spans="1:9" s="10" customFormat="1" ht="19.2" customHeight="1" x14ac:dyDescent="0.3">
      <c r="A215" s="4"/>
      <c r="B215" s="12"/>
      <c r="C215" s="12"/>
      <c r="D215" s="12"/>
      <c r="E215" s="12"/>
      <c r="F215" s="108" t="s">
        <v>247</v>
      </c>
      <c r="G215" s="79"/>
      <c r="H215" s="109">
        <v>50000</v>
      </c>
      <c r="I215" s="41"/>
    </row>
    <row r="216" spans="1:9" s="10" customFormat="1" ht="30" customHeight="1" x14ac:dyDescent="0.3">
      <c r="A216" s="42" t="s">
        <v>249</v>
      </c>
      <c r="B216" s="32"/>
      <c r="C216" s="32"/>
      <c r="D216" s="32"/>
      <c r="E216" s="32"/>
      <c r="F216" s="117"/>
      <c r="G216" s="281"/>
      <c r="H216" s="118">
        <f>H217</f>
        <v>140000</v>
      </c>
      <c r="I216" s="126"/>
    </row>
    <row r="217" spans="1:9" x14ac:dyDescent="0.3">
      <c r="A217" s="10" t="s">
        <v>24</v>
      </c>
      <c r="B217" s="10" t="s">
        <v>25</v>
      </c>
      <c r="C217" s="10"/>
      <c r="D217" s="10"/>
      <c r="E217" s="10"/>
      <c r="F217" s="111"/>
      <c r="G217" s="106"/>
      <c r="H217" s="107">
        <f>H218+H223</f>
        <v>140000</v>
      </c>
      <c r="I217" s="129"/>
    </row>
    <row r="218" spans="1:9" ht="15" customHeight="1" x14ac:dyDescent="0.3">
      <c r="B218" s="12" t="s">
        <v>160</v>
      </c>
      <c r="D218" s="12" t="s">
        <v>161</v>
      </c>
      <c r="F218" s="113"/>
      <c r="G218" s="113"/>
      <c r="H218" s="110">
        <f>H219+H221</f>
        <v>120000</v>
      </c>
      <c r="I218" s="134"/>
    </row>
    <row r="219" spans="1:9" x14ac:dyDescent="0.3">
      <c r="C219" s="12" t="s">
        <v>165</v>
      </c>
      <c r="D219" s="12" t="s">
        <v>166</v>
      </c>
      <c r="F219" s="108"/>
      <c r="G219" s="108"/>
      <c r="H219" s="109">
        <f>SUM(H220:H220)</f>
        <v>100000</v>
      </c>
      <c r="I219" s="134"/>
    </row>
    <row r="220" spans="1:9" x14ac:dyDescent="0.3">
      <c r="A220" s="10"/>
      <c r="B220" s="14"/>
      <c r="C220" s="14"/>
      <c r="D220" s="123"/>
      <c r="E220" s="123"/>
      <c r="F220" s="108" t="s">
        <v>223</v>
      </c>
      <c r="G220" s="108"/>
      <c r="H220" s="109">
        <v>100000</v>
      </c>
      <c r="I220" s="134"/>
    </row>
    <row r="221" spans="1:9" x14ac:dyDescent="0.3">
      <c r="C221" s="12" t="s">
        <v>179</v>
      </c>
      <c r="D221" s="12" t="s">
        <v>180</v>
      </c>
      <c r="F221" s="108"/>
      <c r="G221" s="79"/>
      <c r="H221" s="109">
        <f>SUM(H222)</f>
        <v>20000</v>
      </c>
      <c r="I221" s="134"/>
    </row>
    <row r="222" spans="1:9" x14ac:dyDescent="0.3">
      <c r="F222" s="108" t="s">
        <v>215</v>
      </c>
      <c r="G222" s="79"/>
      <c r="H222" s="109">
        <v>20000</v>
      </c>
      <c r="I222" s="134"/>
    </row>
    <row r="223" spans="1:9" x14ac:dyDescent="0.3">
      <c r="B223" s="12" t="s">
        <v>186</v>
      </c>
      <c r="D223" s="12" t="s">
        <v>187</v>
      </c>
      <c r="F223" s="108"/>
      <c r="G223" s="108"/>
      <c r="H223" s="110">
        <f>H224</f>
        <v>20000</v>
      </c>
      <c r="I223" s="134"/>
    </row>
    <row r="224" spans="1:9" x14ac:dyDescent="0.3">
      <c r="C224" s="12" t="s">
        <v>188</v>
      </c>
      <c r="D224" s="12" t="s">
        <v>189</v>
      </c>
      <c r="H224" s="35">
        <v>20000</v>
      </c>
      <c r="I224" s="134"/>
    </row>
    <row r="225" spans="1:9" s="10" customFormat="1" ht="30" customHeight="1" x14ac:dyDescent="0.3">
      <c r="A225" s="297" t="s">
        <v>77</v>
      </c>
      <c r="B225" s="297"/>
      <c r="C225" s="297"/>
      <c r="D225" s="297"/>
      <c r="E225" s="297"/>
      <c r="F225" s="297"/>
      <c r="G225" s="281"/>
      <c r="H225" s="118">
        <f>SUM(H226)</f>
        <v>0</v>
      </c>
    </row>
    <row r="226" spans="1:9" x14ac:dyDescent="0.3">
      <c r="A226" s="10" t="s">
        <v>28</v>
      </c>
      <c r="B226" s="10" t="s">
        <v>29</v>
      </c>
      <c r="C226" s="10"/>
      <c r="D226" s="10"/>
      <c r="E226" s="10"/>
      <c r="F226" s="111"/>
      <c r="G226" s="106"/>
      <c r="H226" s="107">
        <f>SUM(H227)</f>
        <v>0</v>
      </c>
      <c r="I226" s="135"/>
    </row>
    <row r="227" spans="1:9" x14ac:dyDescent="0.3">
      <c r="C227" s="12" t="s">
        <v>250</v>
      </c>
      <c r="D227" s="12" t="s">
        <v>251</v>
      </c>
      <c r="F227" s="108"/>
      <c r="G227" s="79"/>
      <c r="H227" s="109">
        <v>0</v>
      </c>
      <c r="I227" s="135"/>
    </row>
    <row r="228" spans="1:9" ht="30" customHeight="1" x14ac:dyDescent="0.3">
      <c r="A228" s="285" t="s">
        <v>110</v>
      </c>
      <c r="B228" s="285"/>
      <c r="C228" s="285"/>
      <c r="D228" s="285"/>
      <c r="E228" s="285"/>
      <c r="F228" s="285"/>
      <c r="G228" s="285"/>
      <c r="H228" s="118">
        <f>H229+H232</f>
        <v>18436916.5</v>
      </c>
      <c r="I228" s="135"/>
    </row>
    <row r="229" spans="1:9" x14ac:dyDescent="0.3">
      <c r="A229" s="10" t="s">
        <v>31</v>
      </c>
      <c r="B229" s="14" t="s">
        <v>32</v>
      </c>
      <c r="F229" s="108"/>
      <c r="G229" s="108"/>
      <c r="H229" s="107">
        <f>SUM(H230:H231)</f>
        <v>0</v>
      </c>
      <c r="I229" s="135"/>
    </row>
    <row r="230" spans="1:9" x14ac:dyDescent="0.3">
      <c r="B230" s="12" t="s">
        <v>216</v>
      </c>
      <c r="C230" s="10"/>
      <c r="D230" s="12" t="s">
        <v>217</v>
      </c>
      <c r="E230" s="10"/>
      <c r="F230" s="121"/>
      <c r="G230" s="109"/>
      <c r="H230" s="109">
        <v>0</v>
      </c>
      <c r="I230" s="135"/>
    </row>
    <row r="231" spans="1:9" x14ac:dyDescent="0.3">
      <c r="B231" s="12" t="s">
        <v>218</v>
      </c>
      <c r="D231" s="12" t="s">
        <v>219</v>
      </c>
      <c r="F231" s="108"/>
      <c r="G231" s="108"/>
      <c r="H231" s="109">
        <f>H230*0.27</f>
        <v>0</v>
      </c>
      <c r="I231" s="135"/>
    </row>
    <row r="232" spans="1:9" x14ac:dyDescent="0.3">
      <c r="A232" s="10" t="s">
        <v>33</v>
      </c>
      <c r="B232" s="10" t="s">
        <v>34</v>
      </c>
      <c r="C232" s="10"/>
      <c r="D232" s="10"/>
      <c r="E232" s="10"/>
      <c r="F232" s="111"/>
      <c r="G232" s="122"/>
      <c r="H232" s="107">
        <f>SUM(H233:H235)</f>
        <v>18436916.5</v>
      </c>
      <c r="I232" s="135"/>
    </row>
    <row r="233" spans="1:9" x14ac:dyDescent="0.3">
      <c r="B233" s="12" t="s">
        <v>220</v>
      </c>
      <c r="D233" s="12" t="s">
        <v>325</v>
      </c>
      <c r="F233" s="108"/>
      <c r="G233" s="79"/>
      <c r="H233" s="109">
        <v>10011294.5</v>
      </c>
      <c r="I233" s="109">
        <v>10216019</v>
      </c>
    </row>
    <row r="234" spans="1:9" x14ac:dyDescent="0.3">
      <c r="B234" s="12" t="s">
        <v>220</v>
      </c>
      <c r="D234" s="12" t="s">
        <v>326</v>
      </c>
      <c r="F234" s="108"/>
      <c r="G234" s="79"/>
      <c r="H234" s="109">
        <f>4403600+102362</f>
        <v>4505962</v>
      </c>
      <c r="I234" s="109">
        <f>4403600+425000+130000</f>
        <v>4958600</v>
      </c>
    </row>
    <row r="235" spans="1:9" s="10" customFormat="1" ht="15.6" customHeight="1" x14ac:dyDescent="0.3">
      <c r="A235" s="4"/>
      <c r="B235" s="12" t="s">
        <v>221</v>
      </c>
      <c r="C235" s="12"/>
      <c r="D235" s="12" t="s">
        <v>222</v>
      </c>
      <c r="E235" s="12"/>
      <c r="F235" s="108"/>
      <c r="G235" s="79"/>
      <c r="H235" s="109">
        <f>2703050+1188972+27638</f>
        <v>3919660</v>
      </c>
      <c r="I235" s="136"/>
    </row>
    <row r="236" spans="1:9" s="7" customFormat="1" ht="21" customHeight="1" x14ac:dyDescent="0.35">
      <c r="A236" s="42" t="s">
        <v>252</v>
      </c>
      <c r="B236" s="32"/>
      <c r="C236" s="32"/>
      <c r="D236" s="32"/>
      <c r="E236" s="32"/>
      <c r="F236" s="137"/>
      <c r="G236" s="125">
        <f>SUM(G10+G117+G136)</f>
        <v>6</v>
      </c>
      <c r="H236" s="124">
        <f>SUM(H10+H45+H48+H60+H83+H98+H110+H117+H136+H148+H160+H169+H183+H208+H212+H216+H225+H228)</f>
        <v>106811557.09999999</v>
      </c>
    </row>
    <row r="237" spans="1:9" x14ac:dyDescent="0.3">
      <c r="A237" s="54" t="s">
        <v>20</v>
      </c>
      <c r="B237" s="53" t="s">
        <v>142</v>
      </c>
      <c r="C237" s="53"/>
      <c r="D237" s="53"/>
      <c r="E237" s="53"/>
      <c r="F237" s="138"/>
      <c r="G237" s="135" t="s">
        <v>20</v>
      </c>
      <c r="H237" s="135">
        <f>H11+H61+H118+H137+H184</f>
        <v>14489644</v>
      </c>
    </row>
    <row r="238" spans="1:9" x14ac:dyDescent="0.3">
      <c r="A238" s="54" t="s">
        <v>22</v>
      </c>
      <c r="B238" s="58" t="s">
        <v>158</v>
      </c>
      <c r="C238" s="58"/>
      <c r="D238" s="58"/>
      <c r="E238" s="58"/>
      <c r="F238" s="139"/>
      <c r="G238" s="135" t="s">
        <v>22</v>
      </c>
      <c r="H238" s="135">
        <f>H20+H64+H124+H141+H192</f>
        <v>2013822</v>
      </c>
    </row>
    <row r="239" spans="1:9" x14ac:dyDescent="0.3">
      <c r="A239" s="54" t="s">
        <v>24</v>
      </c>
      <c r="B239" s="58" t="s">
        <v>25</v>
      </c>
      <c r="C239" s="58"/>
      <c r="D239" s="58"/>
      <c r="E239" s="58"/>
      <c r="F239" s="139"/>
      <c r="G239" s="135" t="s">
        <v>24</v>
      </c>
      <c r="H239" s="135">
        <f>H22+H66+H84+H99+H111+H126+H143+H149+H161+H170+H194+H217</f>
        <v>13369000</v>
      </c>
    </row>
    <row r="240" spans="1:9" x14ac:dyDescent="0.3">
      <c r="A240" s="54" t="s">
        <v>26</v>
      </c>
      <c r="B240" s="58" t="s">
        <v>237</v>
      </c>
      <c r="C240" s="58"/>
      <c r="D240" s="58"/>
      <c r="E240" s="58"/>
      <c r="F240" s="139"/>
      <c r="G240" s="135" t="s">
        <v>26</v>
      </c>
      <c r="H240" s="135">
        <f>H157</f>
        <v>2358000</v>
      </c>
    </row>
    <row r="241" spans="1:8" x14ac:dyDescent="0.3">
      <c r="A241" s="54" t="s">
        <v>28</v>
      </c>
      <c r="B241" s="58" t="s">
        <v>29</v>
      </c>
      <c r="C241" s="58"/>
      <c r="D241" s="58"/>
      <c r="E241" s="58"/>
      <c r="F241" s="139"/>
      <c r="G241" s="135" t="s">
        <v>28</v>
      </c>
      <c r="H241" s="135">
        <f>H41+H52+H209+H213+H226</f>
        <v>13472598</v>
      </c>
    </row>
    <row r="242" spans="1:8" x14ac:dyDescent="0.3">
      <c r="A242" s="54" t="s">
        <v>31</v>
      </c>
      <c r="B242" s="58" t="s">
        <v>32</v>
      </c>
      <c r="C242" s="58"/>
      <c r="D242" s="58"/>
      <c r="E242" s="58"/>
      <c r="F242" s="139"/>
      <c r="G242" s="135" t="s">
        <v>31</v>
      </c>
      <c r="H242" s="135">
        <f>H77+H95+H107+H229</f>
        <v>3756000</v>
      </c>
    </row>
    <row r="243" spans="1:8" x14ac:dyDescent="0.3">
      <c r="A243" s="54" t="s">
        <v>33</v>
      </c>
      <c r="B243" s="58" t="s">
        <v>34</v>
      </c>
      <c r="C243" s="58"/>
      <c r="D243" s="58"/>
      <c r="E243" s="58"/>
      <c r="F243" s="139"/>
      <c r="G243" s="135" t="s">
        <v>33</v>
      </c>
      <c r="H243" s="135">
        <f>H80+H205+H232</f>
        <v>18636916.100000001</v>
      </c>
    </row>
    <row r="244" spans="1:8" x14ac:dyDescent="0.3">
      <c r="A244" s="54" t="s">
        <v>35</v>
      </c>
      <c r="B244" s="53" t="s">
        <v>36</v>
      </c>
      <c r="C244" s="53"/>
      <c r="D244" s="53"/>
      <c r="E244" s="53"/>
      <c r="F244" s="138"/>
      <c r="G244" s="135" t="s">
        <v>35</v>
      </c>
      <c r="H244" s="135">
        <f>H46+H49</f>
        <v>38715577</v>
      </c>
    </row>
    <row r="245" spans="1:8" ht="20.399999999999999" customHeight="1" x14ac:dyDescent="0.3">
      <c r="A245" s="62" t="s">
        <v>253</v>
      </c>
      <c r="B245" s="140"/>
      <c r="C245" s="140"/>
      <c r="D245" s="140"/>
      <c r="E245" s="140"/>
      <c r="F245" s="141"/>
      <c r="G245" s="141"/>
      <c r="H245" s="142">
        <f>SUM(H237:H244)</f>
        <v>106811557.09999999</v>
      </c>
    </row>
    <row r="246" spans="1:8" x14ac:dyDescent="0.3">
      <c r="A246" s="7"/>
      <c r="B246" s="143"/>
      <c r="C246" s="143"/>
      <c r="D246" s="143"/>
      <c r="E246" s="143"/>
      <c r="F246" s="143"/>
    </row>
    <row r="247" spans="1:8" x14ac:dyDescent="0.3">
      <c r="H247" s="35"/>
    </row>
    <row r="248" spans="1:8" x14ac:dyDescent="0.3">
      <c r="H248" s="144"/>
    </row>
    <row r="249" spans="1:8" x14ac:dyDescent="0.3">
      <c r="H249" s="144"/>
    </row>
  </sheetData>
  <sheetProtection selectLockedCells="1" selectUnlockedCells="1"/>
  <mergeCells count="14">
    <mergeCell ref="F1:H1"/>
    <mergeCell ref="A2:H2"/>
    <mergeCell ref="A4:H4"/>
    <mergeCell ref="A5:H5"/>
    <mergeCell ref="A6:H6"/>
    <mergeCell ref="A8:F9"/>
    <mergeCell ref="G8:G9"/>
    <mergeCell ref="A228:G228"/>
    <mergeCell ref="A10:F10"/>
    <mergeCell ref="A48:F48"/>
    <mergeCell ref="A60:F60"/>
    <mergeCell ref="A83:F83"/>
    <mergeCell ref="A110:F110"/>
    <mergeCell ref="A225:F225"/>
  </mergeCells>
  <printOptions horizontalCentered="1" headings="1" gridLines="1"/>
  <pageMargins left="0.27569444444444446" right="0.27569444444444446" top="0.78749999999999998" bottom="0.78749999999999998" header="0.51180555555555551" footer="0.51180555555555551"/>
  <pageSetup paperSize="9" scale="65" firstPageNumber="0" orientation="portrait" horizontalDpi="300" verticalDpi="300" r:id="rId1"/>
  <headerFooter alignWithMargins="0">
    <oddFooter>&amp;C&amp;P. oldal, összesen: &amp;N</oddFooter>
  </headerFooter>
  <rowBreaks count="4" manualBreakCount="4">
    <brk id="59" max="16383" man="1"/>
    <brk id="116" max="16383" man="1"/>
    <brk id="168" max="16383" man="1"/>
    <brk id="224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view="pageBreakPreview" topLeftCell="A10" zoomScale="120" zoomScaleNormal="120" zoomScaleSheetLayoutView="120" workbookViewId="0">
      <selection activeCell="A31" sqref="A30:A31"/>
    </sheetView>
  </sheetViews>
  <sheetFormatPr defaultColWidth="9.109375" defaultRowHeight="13.2" x14ac:dyDescent="0.25"/>
  <cols>
    <col min="1" max="1" width="82" style="84" customWidth="1"/>
    <col min="2" max="2" width="13.5546875" style="84" customWidth="1"/>
    <col min="3" max="3" width="13.109375" style="84" customWidth="1"/>
    <col min="4" max="4" width="14.6640625" style="84" customWidth="1"/>
    <col min="5" max="5" width="15.6640625" style="84" customWidth="1"/>
    <col min="6" max="16384" width="9.109375" style="84"/>
  </cols>
  <sheetData>
    <row r="1" spans="1:5" ht="15.6" x14ac:dyDescent="0.3">
      <c r="A1" s="291" t="s">
        <v>349</v>
      </c>
      <c r="B1" s="291"/>
      <c r="C1" s="291"/>
      <c r="D1" s="291"/>
      <c r="E1" s="291"/>
    </row>
    <row r="2" spans="1:5" ht="15.6" x14ac:dyDescent="0.3">
      <c r="A2" s="291"/>
      <c r="B2" s="291"/>
      <c r="C2" s="291"/>
      <c r="D2" s="291"/>
      <c r="E2" s="291"/>
    </row>
    <row r="3" spans="1:5" s="85" customFormat="1" ht="15.6" x14ac:dyDescent="0.3">
      <c r="A3" s="291"/>
      <c r="B3" s="291"/>
      <c r="C3" s="291"/>
      <c r="D3" s="291"/>
      <c r="E3" s="291"/>
    </row>
    <row r="4" spans="1:5" s="85" customFormat="1" ht="24" customHeight="1" x14ac:dyDescent="0.25">
      <c r="A4" s="300" t="s">
        <v>254</v>
      </c>
      <c r="B4" s="300"/>
      <c r="C4" s="300"/>
      <c r="D4" s="300"/>
      <c r="E4" s="300"/>
    </row>
    <row r="5" spans="1:5" s="85" customFormat="1" ht="25.5" customHeight="1" x14ac:dyDescent="0.25">
      <c r="A5" s="300" t="s">
        <v>313</v>
      </c>
      <c r="B5" s="300"/>
      <c r="C5" s="300"/>
      <c r="D5" s="300"/>
      <c r="E5" s="300"/>
    </row>
    <row r="6" spans="1:5" s="85" customFormat="1" ht="46.8" x14ac:dyDescent="0.25">
      <c r="A6" s="88" t="s">
        <v>255</v>
      </c>
      <c r="B6" s="89" t="s">
        <v>131</v>
      </c>
      <c r="C6" s="89" t="s">
        <v>132</v>
      </c>
      <c r="D6" s="89" t="s">
        <v>133</v>
      </c>
      <c r="E6" s="89" t="s">
        <v>134</v>
      </c>
    </row>
    <row r="7" spans="1:5" s="85" customFormat="1" ht="15.6" x14ac:dyDescent="0.3">
      <c r="A7" s="94" t="s">
        <v>256</v>
      </c>
      <c r="B7" s="93">
        <f>'5.kiadás'!H10</f>
        <v>16157509</v>
      </c>
      <c r="C7" s="93">
        <v>0</v>
      </c>
      <c r="D7" s="93">
        <v>0</v>
      </c>
      <c r="E7" s="93">
        <f t="shared" ref="E7:E25" si="0">SUM(B7:D7)</f>
        <v>16157509</v>
      </c>
    </row>
    <row r="8" spans="1:5" s="85" customFormat="1" ht="15.6" x14ac:dyDescent="0.3">
      <c r="A8" s="94" t="s">
        <v>106</v>
      </c>
      <c r="B8" s="93">
        <f>'5.kiadás'!H45</f>
        <v>3560000</v>
      </c>
      <c r="C8" s="93">
        <v>0</v>
      </c>
      <c r="D8" s="93">
        <v>0</v>
      </c>
      <c r="E8" s="93">
        <f t="shared" si="0"/>
        <v>3560000</v>
      </c>
    </row>
    <row r="9" spans="1:5" s="85" customFormat="1" ht="15.6" x14ac:dyDescent="0.3">
      <c r="A9" s="94" t="s">
        <v>50</v>
      </c>
      <c r="B9" s="93">
        <f>'5.kiadás'!H48-'11.Idősek Otthona bevétel'!F30</f>
        <v>7138925</v>
      </c>
      <c r="C9" s="93">
        <v>0</v>
      </c>
      <c r="D9" s="93">
        <v>0</v>
      </c>
      <c r="E9" s="93">
        <f t="shared" si="0"/>
        <v>7138925</v>
      </c>
    </row>
    <row r="10" spans="1:5" s="85" customFormat="1" ht="15.6" x14ac:dyDescent="0.3">
      <c r="A10" s="94" t="s">
        <v>136</v>
      </c>
      <c r="B10" s="93">
        <f>'5.kiadás'!H60</f>
        <v>6523499.5999999996</v>
      </c>
      <c r="C10" s="93">
        <v>0</v>
      </c>
      <c r="D10" s="93">
        <v>0</v>
      </c>
      <c r="E10" s="93">
        <f t="shared" si="0"/>
        <v>6523499.5999999996</v>
      </c>
    </row>
    <row r="11" spans="1:5" s="85" customFormat="1" ht="15.6" x14ac:dyDescent="0.3">
      <c r="A11" s="94" t="s">
        <v>76</v>
      </c>
      <c r="B11" s="93">
        <f>'5.kiadás'!H83</f>
        <v>685000</v>
      </c>
      <c r="C11" s="93">
        <v>0</v>
      </c>
      <c r="D11" s="93">
        <v>0</v>
      </c>
      <c r="E11" s="93">
        <f t="shared" si="0"/>
        <v>685000</v>
      </c>
    </row>
    <row r="12" spans="1:5" s="85" customFormat="1" ht="15.6" x14ac:dyDescent="0.3">
      <c r="A12" s="90" t="s">
        <v>257</v>
      </c>
      <c r="B12" s="93">
        <f>'5.kiadás'!H98</f>
        <v>890000</v>
      </c>
      <c r="C12" s="93">
        <v>0</v>
      </c>
      <c r="D12" s="93">
        <v>0</v>
      </c>
      <c r="E12" s="93">
        <f t="shared" si="0"/>
        <v>890000</v>
      </c>
    </row>
    <row r="13" spans="1:5" s="85" customFormat="1" ht="15.6" x14ac:dyDescent="0.3">
      <c r="A13" s="94" t="s">
        <v>258</v>
      </c>
      <c r="B13" s="93">
        <f>'5.kiadás'!H110</f>
        <v>882000</v>
      </c>
      <c r="C13" s="93">
        <v>0</v>
      </c>
      <c r="D13" s="93">
        <v>0</v>
      </c>
      <c r="E13" s="93">
        <f t="shared" si="0"/>
        <v>882000</v>
      </c>
    </row>
    <row r="14" spans="1:5" s="85" customFormat="1" ht="15.6" x14ac:dyDescent="0.3">
      <c r="A14" s="90" t="s">
        <v>259</v>
      </c>
      <c r="B14" s="93">
        <f>'5.kiadás'!H117</f>
        <v>5445955</v>
      </c>
      <c r="C14" s="93">
        <v>0</v>
      </c>
      <c r="D14" s="93">
        <v>0</v>
      </c>
      <c r="E14" s="93">
        <f t="shared" si="0"/>
        <v>5445955</v>
      </c>
    </row>
    <row r="15" spans="1:5" s="85" customFormat="1" ht="15.6" x14ac:dyDescent="0.3">
      <c r="A15" s="90" t="s">
        <v>119</v>
      </c>
      <c r="B15" s="93">
        <f>'5.kiadás'!H136+'[1]12.Idősek Otthona kiadás'!G43</f>
        <v>4404750</v>
      </c>
      <c r="C15" s="93">
        <v>0</v>
      </c>
      <c r="D15" s="93">
        <v>0</v>
      </c>
      <c r="E15" s="93">
        <f t="shared" si="0"/>
        <v>4404750</v>
      </c>
    </row>
    <row r="16" spans="1:5" s="85" customFormat="1" ht="15.6" x14ac:dyDescent="0.3">
      <c r="A16" s="90" t="s">
        <v>236</v>
      </c>
      <c r="B16" s="93">
        <f>'5.kiadás'!H148</f>
        <v>2358000</v>
      </c>
      <c r="C16" s="93">
        <v>0</v>
      </c>
      <c r="D16" s="93">
        <v>0</v>
      </c>
      <c r="E16" s="93">
        <f t="shared" si="0"/>
        <v>2358000</v>
      </c>
    </row>
    <row r="17" spans="1:5" s="85" customFormat="1" ht="15.6" x14ac:dyDescent="0.3">
      <c r="A17" s="90" t="s">
        <v>241</v>
      </c>
      <c r="B17" s="93">
        <f>'5.kiadás'!H160</f>
        <v>0</v>
      </c>
      <c r="C17" s="93">
        <v>0</v>
      </c>
      <c r="D17" s="93">
        <v>0</v>
      </c>
      <c r="E17" s="93">
        <f t="shared" si="0"/>
        <v>0</v>
      </c>
    </row>
    <row r="18" spans="1:5" s="85" customFormat="1" ht="15.6" x14ac:dyDescent="0.3">
      <c r="A18" s="90" t="s">
        <v>242</v>
      </c>
      <c r="B18" s="93">
        <v>0</v>
      </c>
      <c r="C18" s="93">
        <f>'5.kiadás'!H169</f>
        <v>130000</v>
      </c>
      <c r="D18" s="93">
        <v>0</v>
      </c>
      <c r="E18" s="93">
        <f t="shared" si="0"/>
        <v>130000</v>
      </c>
    </row>
    <row r="19" spans="1:5" s="85" customFormat="1" ht="15.6" x14ac:dyDescent="0.3">
      <c r="A19" s="90" t="s">
        <v>260</v>
      </c>
      <c r="B19" s="93"/>
      <c r="C19" s="93">
        <f>'5.kiadás'!H183</f>
        <v>5888425</v>
      </c>
      <c r="D19" s="93">
        <v>0</v>
      </c>
      <c r="E19" s="93">
        <f t="shared" si="0"/>
        <v>5888425</v>
      </c>
    </row>
    <row r="20" spans="1:5" s="85" customFormat="1" ht="15.6" x14ac:dyDescent="0.3">
      <c r="A20" s="90" t="s">
        <v>246</v>
      </c>
      <c r="B20" s="93">
        <f>'5.kiadás'!H208</f>
        <v>20000</v>
      </c>
      <c r="C20" s="93">
        <v>0</v>
      </c>
      <c r="D20" s="93">
        <v>0</v>
      </c>
      <c r="E20" s="93">
        <f t="shared" si="0"/>
        <v>20000</v>
      </c>
    </row>
    <row r="21" spans="1:5" s="85" customFormat="1" ht="15.6" x14ac:dyDescent="0.3">
      <c r="A21" s="90" t="s">
        <v>248</v>
      </c>
      <c r="B21" s="93">
        <f>'5.kiadás'!H212</f>
        <v>50000</v>
      </c>
      <c r="C21" s="93">
        <v>0</v>
      </c>
      <c r="D21" s="93">
        <v>0</v>
      </c>
      <c r="E21" s="93">
        <f t="shared" si="0"/>
        <v>50000</v>
      </c>
    </row>
    <row r="22" spans="1:5" s="85" customFormat="1" ht="15.6" x14ac:dyDescent="0.3">
      <c r="A22" s="90" t="s">
        <v>249</v>
      </c>
      <c r="B22" s="93">
        <f>'5.kiadás'!H216</f>
        <v>140000</v>
      </c>
      <c r="C22" s="93">
        <f>'5.kiadás'!I210</f>
        <v>0</v>
      </c>
      <c r="D22" s="93">
        <f>'5.kiadás'!J210</f>
        <v>0</v>
      </c>
      <c r="E22" s="93">
        <f t="shared" si="0"/>
        <v>140000</v>
      </c>
    </row>
    <row r="23" spans="1:5" s="85" customFormat="1" ht="15.6" x14ac:dyDescent="0.3">
      <c r="A23" s="90" t="s">
        <v>77</v>
      </c>
      <c r="B23" s="93">
        <f>'5.kiadás'!H225</f>
        <v>0</v>
      </c>
      <c r="C23" s="93">
        <v>0</v>
      </c>
      <c r="D23" s="93">
        <v>0</v>
      </c>
      <c r="E23" s="93">
        <f t="shared" si="0"/>
        <v>0</v>
      </c>
    </row>
    <row r="24" spans="1:5" s="85" customFormat="1" ht="14.4" customHeight="1" x14ac:dyDescent="0.3">
      <c r="A24" s="90" t="s">
        <v>137</v>
      </c>
      <c r="B24" s="93">
        <v>0</v>
      </c>
      <c r="C24" s="93">
        <f>'[1]12.Idősek Otthona kiadás'!G7</f>
        <v>63251890.700000003</v>
      </c>
      <c r="D24" s="93">
        <v>0</v>
      </c>
      <c r="E24" s="93">
        <f t="shared" si="0"/>
        <v>63251890.700000003</v>
      </c>
    </row>
    <row r="25" spans="1:5" s="85" customFormat="1" ht="14.4" customHeight="1" x14ac:dyDescent="0.3">
      <c r="A25" s="90" t="s">
        <v>110</v>
      </c>
      <c r="B25" s="93">
        <f>'5.kiadás'!H228</f>
        <v>18436916.5</v>
      </c>
      <c r="C25" s="93"/>
      <c r="D25" s="93"/>
      <c r="E25" s="93">
        <f t="shared" si="0"/>
        <v>18436916.5</v>
      </c>
    </row>
    <row r="26" spans="1:5" ht="20.399999999999999" customHeight="1" x14ac:dyDescent="0.3">
      <c r="A26" s="98" t="s">
        <v>138</v>
      </c>
      <c r="B26" s="99">
        <f>SUM(B7:B25)</f>
        <v>66692555.100000001</v>
      </c>
      <c r="C26" s="99">
        <f>SUM(C7:C25)</f>
        <v>69270315.700000003</v>
      </c>
      <c r="D26" s="99">
        <f>SUM(D7:D25)</f>
        <v>0</v>
      </c>
      <c r="E26" s="99">
        <f>SUM(E7:E25)</f>
        <v>135962870.80000001</v>
      </c>
    </row>
    <row r="27" spans="1:5" x14ac:dyDescent="0.25">
      <c r="E27" s="145"/>
    </row>
    <row r="28" spans="1:5" ht="13.8" x14ac:dyDescent="0.25">
      <c r="E28" s="146"/>
    </row>
    <row r="29" spans="1:5" x14ac:dyDescent="0.25">
      <c r="D29" s="145"/>
    </row>
  </sheetData>
  <sheetProtection selectLockedCells="1" selectUnlockedCells="1"/>
  <mergeCells count="5">
    <mergeCell ref="A1:E1"/>
    <mergeCell ref="A2:E2"/>
    <mergeCell ref="A3:E3"/>
    <mergeCell ref="A4:E4"/>
    <mergeCell ref="A5:E5"/>
  </mergeCells>
  <printOptions headings="1" gridLines="1"/>
  <pageMargins left="0.75" right="0.75" top="1" bottom="1" header="0.51180555555555551" footer="0.51180555555555551"/>
  <pageSetup paperSize="9" scale="90" firstPageNumber="0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zoomScale="120" zoomScaleNormal="120" zoomScaleSheetLayoutView="120" workbookViewId="0">
      <selection activeCell="A4" sqref="A4:E4"/>
    </sheetView>
  </sheetViews>
  <sheetFormatPr defaultColWidth="10.33203125" defaultRowHeight="15.6" x14ac:dyDescent="0.3"/>
  <cols>
    <col min="1" max="1" width="4.33203125" style="147" customWidth="1"/>
    <col min="2" max="2" width="49.5546875" style="147" customWidth="1"/>
    <col min="3" max="3" width="17.77734375" style="147" customWidth="1"/>
    <col min="4" max="4" width="17.109375" style="147" customWidth="1"/>
    <col min="5" max="5" width="17.5546875" style="147" customWidth="1"/>
    <col min="6" max="16384" width="10.33203125" style="147"/>
  </cols>
  <sheetData>
    <row r="1" spans="1:8" x14ac:dyDescent="0.3">
      <c r="B1" s="301" t="s">
        <v>314</v>
      </c>
      <c r="C1" s="301"/>
      <c r="D1" s="301"/>
      <c r="E1" s="301"/>
    </row>
    <row r="2" spans="1:8" x14ac:dyDescent="0.3">
      <c r="A2" s="301"/>
      <c r="B2" s="301"/>
      <c r="C2" s="301"/>
      <c r="D2" s="301"/>
      <c r="E2" s="301"/>
    </row>
    <row r="3" spans="1:8" ht="24" customHeight="1" x14ac:dyDescent="0.3">
      <c r="A3" s="302" t="s">
        <v>0</v>
      </c>
      <c r="B3" s="302"/>
      <c r="C3" s="302"/>
      <c r="D3" s="302"/>
      <c r="E3" s="302"/>
    </row>
    <row r="4" spans="1:8" ht="24" customHeight="1" x14ac:dyDescent="0.3">
      <c r="A4" s="302" t="s">
        <v>261</v>
      </c>
      <c r="B4" s="302"/>
      <c r="C4" s="302"/>
      <c r="D4" s="302"/>
      <c r="E4" s="302"/>
    </row>
    <row r="5" spans="1:8" x14ac:dyDescent="0.3">
      <c r="B5" s="148"/>
      <c r="C5" s="149"/>
      <c r="D5" s="149"/>
      <c r="E5" s="149"/>
    </row>
    <row r="6" spans="1:8" ht="61.5" customHeight="1" x14ac:dyDescent="0.3">
      <c r="A6" s="303" t="s">
        <v>262</v>
      </c>
      <c r="B6" s="303"/>
      <c r="C6" s="150" t="s">
        <v>263</v>
      </c>
      <c r="D6" s="150" t="s">
        <v>264</v>
      </c>
      <c r="E6" s="150" t="s">
        <v>265</v>
      </c>
    </row>
    <row r="7" spans="1:8" x14ac:dyDescent="0.3">
      <c r="A7" s="147" t="s">
        <v>5</v>
      </c>
      <c r="B7" s="151" t="s">
        <v>6</v>
      </c>
      <c r="C7" s="93">
        <f>50762852+1244746</f>
        <v>52007598</v>
      </c>
      <c r="D7" s="93">
        <f>57866456+2257515</f>
        <v>60123971</v>
      </c>
      <c r="E7" s="93">
        <f>'2.bevétel'!F88+'11.Idősek Otthona bevétel'!F32</f>
        <v>63440952</v>
      </c>
    </row>
    <row r="8" spans="1:8" x14ac:dyDescent="0.3">
      <c r="A8" s="147" t="s">
        <v>7</v>
      </c>
      <c r="B8" s="151" t="s">
        <v>8</v>
      </c>
      <c r="C8" s="93">
        <f>12185239</f>
        <v>12185239</v>
      </c>
      <c r="D8" s="93">
        <v>9849976</v>
      </c>
      <c r="E8" s="93">
        <f>'2.bevétel'!F90</f>
        <v>5900000</v>
      </c>
      <c r="H8" s="152"/>
    </row>
    <row r="9" spans="1:8" x14ac:dyDescent="0.3">
      <c r="A9" s="147" t="s">
        <v>9</v>
      </c>
      <c r="B9" s="151" t="s">
        <v>10</v>
      </c>
      <c r="C9" s="93">
        <f>770361+22188893</f>
        <v>22959254</v>
      </c>
      <c r="D9" s="93">
        <f>671673+24530846</f>
        <v>25202519</v>
      </c>
      <c r="E9" s="93">
        <f>'2.bevétel'!F91+'11.Idősek Otthona bevétel'!F33</f>
        <v>26642000</v>
      </c>
      <c r="H9" s="152"/>
    </row>
    <row r="10" spans="1:8" x14ac:dyDescent="0.3">
      <c r="A10" s="147" t="s">
        <v>11</v>
      </c>
      <c r="B10" s="151" t="s">
        <v>12</v>
      </c>
      <c r="C10" s="153">
        <f>100000+0</f>
        <v>100000</v>
      </c>
      <c r="D10" s="153">
        <v>100000</v>
      </c>
      <c r="E10" s="153">
        <f>'2.bevétel'!F92</f>
        <v>55000</v>
      </c>
      <c r="H10" s="152"/>
    </row>
    <row r="11" spans="1:8" x14ac:dyDescent="0.3">
      <c r="A11" s="147" t="s">
        <v>16</v>
      </c>
      <c r="B11" s="154" t="s">
        <v>17</v>
      </c>
      <c r="C11" s="153">
        <f>24501009+2658193</f>
        <v>27159202</v>
      </c>
      <c r="D11" s="153">
        <f>31166379+712063</f>
        <v>31878442</v>
      </c>
      <c r="E11" s="153">
        <f>'2.bevétel'!F93+'11.Idősek Otthona bevétel'!F34-'11.Idősek Otthona bevétel'!F30</f>
        <v>39924919</v>
      </c>
    </row>
    <row r="12" spans="1:8" x14ac:dyDescent="0.3">
      <c r="A12" s="155"/>
      <c r="B12" s="156" t="s">
        <v>266</v>
      </c>
      <c r="C12" s="157">
        <f>SUM(C7:C11)</f>
        <v>114411293</v>
      </c>
      <c r="D12" s="157">
        <f>SUM(D7:D11)</f>
        <v>127154908</v>
      </c>
      <c r="E12" s="157">
        <f>SUM(E7:E11)</f>
        <v>135962871</v>
      </c>
    </row>
    <row r="13" spans="1:8" x14ac:dyDescent="0.3">
      <c r="B13" s="158"/>
    </row>
    <row r="14" spans="1:8" x14ac:dyDescent="0.3">
      <c r="A14" s="147" t="s">
        <v>20</v>
      </c>
      <c r="B14" s="154" t="s">
        <v>142</v>
      </c>
      <c r="C14" s="93">
        <f>13637168+26536719</f>
        <v>40173887</v>
      </c>
      <c r="D14" s="93">
        <f>13841247+30605759</f>
        <v>44447006</v>
      </c>
      <c r="E14" s="93">
        <f>'5.kiadás'!H237+'[1]12.Idősek Otthona kiadás'!G53</f>
        <v>50755984</v>
      </c>
      <c r="F14" s="152"/>
      <c r="G14" s="152"/>
    </row>
    <row r="15" spans="1:8" x14ac:dyDescent="0.3">
      <c r="A15" s="147" t="s">
        <v>22</v>
      </c>
      <c r="B15" s="154" t="s">
        <v>267</v>
      </c>
      <c r="C15" s="93">
        <f>2269178+5348154</f>
        <v>7617332</v>
      </c>
      <c r="D15" s="93">
        <f>2182023+5583860</f>
        <v>7765883</v>
      </c>
      <c r="E15" s="93">
        <f>'5.kiadás'!H238+'[1]12.Idősek Otthona kiadás'!G54</f>
        <v>7559359.7000000002</v>
      </c>
      <c r="F15" s="152"/>
      <c r="G15" s="152"/>
    </row>
    <row r="16" spans="1:8" x14ac:dyDescent="0.3">
      <c r="A16" s="147" t="s">
        <v>24</v>
      </c>
      <c r="B16" s="154" t="s">
        <v>268</v>
      </c>
      <c r="C16" s="93">
        <f>9158947+17648714</f>
        <v>26807661</v>
      </c>
      <c r="D16" s="93">
        <f>11101047+21264639</f>
        <v>32365686</v>
      </c>
      <c r="E16" s="93">
        <f>'5.kiadás'!H239+'[1]12.Idősek Otthona kiadás'!G55</f>
        <v>35864013</v>
      </c>
      <c r="F16" s="152"/>
      <c r="G16" s="152"/>
    </row>
    <row r="17" spans="1:7" x14ac:dyDescent="0.3">
      <c r="A17" s="147" t="s">
        <v>26</v>
      </c>
      <c r="B17" s="154" t="s">
        <v>269</v>
      </c>
      <c r="C17" s="93">
        <f>1357467+0</f>
        <v>1357467</v>
      </c>
      <c r="D17" s="93">
        <v>2743064</v>
      </c>
      <c r="E17" s="93">
        <f>'5.kiadás'!H240</f>
        <v>2358000</v>
      </c>
      <c r="F17" s="152"/>
      <c r="G17" s="152"/>
    </row>
    <row r="18" spans="1:7" x14ac:dyDescent="0.3">
      <c r="A18" s="147" t="s">
        <v>28</v>
      </c>
      <c r="B18" s="159" t="s">
        <v>29</v>
      </c>
      <c r="C18" s="93">
        <f>5336212+0</f>
        <v>5336212</v>
      </c>
      <c r="D18" s="93">
        <v>6717916</v>
      </c>
      <c r="E18" s="93">
        <f>'5.kiadás'!H241</f>
        <v>13472598</v>
      </c>
      <c r="F18" s="152"/>
      <c r="G18" s="152"/>
    </row>
    <row r="19" spans="1:7" x14ac:dyDescent="0.3">
      <c r="A19" s="147" t="s">
        <v>270</v>
      </c>
      <c r="B19" s="159" t="s">
        <v>36</v>
      </c>
      <c r="C19" s="93">
        <v>3740106</v>
      </c>
      <c r="D19" s="93">
        <f>35630579-32037483</f>
        <v>3593096</v>
      </c>
      <c r="E19" s="93">
        <f>'5.kiadás'!H244-'11.Idősek Otthona bevétel'!F30</f>
        <v>3560000</v>
      </c>
      <c r="F19" s="152"/>
      <c r="G19" s="152"/>
    </row>
    <row r="20" spans="1:7" x14ac:dyDescent="0.3">
      <c r="A20" s="155"/>
      <c r="B20" s="156" t="s">
        <v>271</v>
      </c>
      <c r="C20" s="160">
        <f>SUM(C14:C19)</f>
        <v>85032665</v>
      </c>
      <c r="D20" s="160">
        <f>SUM(D14:D19)</f>
        <v>97632651</v>
      </c>
      <c r="E20" s="160">
        <f>SUM(E14:E19)</f>
        <v>113569954.7</v>
      </c>
    </row>
    <row r="21" spans="1:7" x14ac:dyDescent="0.3">
      <c r="D21" s="161"/>
    </row>
    <row r="22" spans="1:7" x14ac:dyDescent="0.3">
      <c r="D22" s="162"/>
    </row>
  </sheetData>
  <sheetProtection selectLockedCells="1" selectUnlockedCells="1"/>
  <mergeCells count="5">
    <mergeCell ref="B1:E1"/>
    <mergeCell ref="A2:E2"/>
    <mergeCell ref="A3:E3"/>
    <mergeCell ref="A4:E4"/>
    <mergeCell ref="A6:B6"/>
  </mergeCells>
  <printOptions headings="1" gridLines="1"/>
  <pageMargins left="0.74791666666666667" right="0.74791666666666667" top="0.98402777777777772" bottom="0.98402777777777772" header="0.51180555555555551" footer="0.51180555555555551"/>
  <pageSetup paperSize="9" scale="75" firstPageNumber="0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opLeftCell="A13" zoomScale="120" zoomScaleNormal="120" zoomScaleSheetLayoutView="120" workbookViewId="0">
      <selection activeCell="E16" sqref="E16"/>
    </sheetView>
  </sheetViews>
  <sheetFormatPr defaultColWidth="10.33203125" defaultRowHeight="15.6" x14ac:dyDescent="0.3"/>
  <cols>
    <col min="1" max="1" width="3.44140625" style="147" customWidth="1"/>
    <col min="2" max="2" width="51.5546875" style="147" customWidth="1"/>
    <col min="3" max="3" width="17.6640625" style="147" customWidth="1"/>
    <col min="4" max="4" width="17.33203125" style="147" customWidth="1"/>
    <col min="5" max="5" width="17.109375" style="147" customWidth="1"/>
    <col min="6" max="16384" width="10.33203125" style="147"/>
  </cols>
  <sheetData>
    <row r="1" spans="1:5" x14ac:dyDescent="0.3">
      <c r="A1" s="301" t="s">
        <v>315</v>
      </c>
      <c r="B1" s="301"/>
      <c r="C1" s="301"/>
      <c r="D1" s="301"/>
      <c r="E1" s="301"/>
    </row>
    <row r="2" spans="1:5" x14ac:dyDescent="0.3">
      <c r="A2" s="301"/>
      <c r="B2" s="301"/>
      <c r="C2" s="301"/>
      <c r="D2" s="301"/>
      <c r="E2" s="301"/>
    </row>
    <row r="3" spans="1:5" x14ac:dyDescent="0.3">
      <c r="A3" s="163"/>
      <c r="B3" s="163"/>
      <c r="C3" s="163"/>
      <c r="D3" s="163"/>
    </row>
    <row r="4" spans="1:5" ht="19.5" customHeight="1" x14ac:dyDescent="0.3">
      <c r="A4" s="304" t="s">
        <v>254</v>
      </c>
      <c r="B4" s="304"/>
      <c r="C4" s="304"/>
      <c r="D4" s="304"/>
      <c r="E4" s="305"/>
    </row>
    <row r="5" spans="1:5" x14ac:dyDescent="0.3">
      <c r="A5" s="304" t="s">
        <v>272</v>
      </c>
      <c r="B5" s="304"/>
      <c r="C5" s="304"/>
      <c r="D5" s="304"/>
      <c r="E5" s="305"/>
    </row>
    <row r="6" spans="1:5" ht="18.600000000000001" customHeight="1" x14ac:dyDescent="0.3">
      <c r="A6" s="148"/>
      <c r="B6" s="148"/>
      <c r="C6" s="164"/>
      <c r="D6" s="164"/>
      <c r="E6" s="164"/>
    </row>
    <row r="7" spans="1:5" ht="31.2" customHeight="1" x14ac:dyDescent="0.3">
      <c r="A7" s="303" t="s">
        <v>262</v>
      </c>
      <c r="B7" s="303"/>
      <c r="C7" s="150" t="s">
        <v>273</v>
      </c>
      <c r="D7" s="150" t="s">
        <v>264</v>
      </c>
      <c r="E7" s="150" t="s">
        <v>274</v>
      </c>
    </row>
    <row r="8" spans="1:5" x14ac:dyDescent="0.3">
      <c r="A8" s="152" t="s">
        <v>14</v>
      </c>
      <c r="B8" s="151" t="s">
        <v>15</v>
      </c>
      <c r="C8" s="165">
        <f>5805012</f>
        <v>5805012</v>
      </c>
      <c r="D8" s="165">
        <v>11988125</v>
      </c>
      <c r="E8" s="165">
        <f>'2.bevétel'!F89</f>
        <v>0</v>
      </c>
    </row>
    <row r="9" spans="1:5" x14ac:dyDescent="0.3">
      <c r="A9" s="152" t="s">
        <v>275</v>
      </c>
      <c r="B9" s="151" t="s">
        <v>276</v>
      </c>
      <c r="C9" s="153">
        <v>0</v>
      </c>
      <c r="D9" s="153">
        <v>0</v>
      </c>
      <c r="E9" s="153">
        <v>0</v>
      </c>
    </row>
    <row r="10" spans="1:5" x14ac:dyDescent="0.3">
      <c r="A10" s="152" t="s">
        <v>277</v>
      </c>
      <c r="B10" s="151" t="s">
        <v>278</v>
      </c>
      <c r="C10" s="153">
        <v>0</v>
      </c>
      <c r="D10" s="153">
        <v>0</v>
      </c>
      <c r="E10" s="153">
        <v>0</v>
      </c>
    </row>
    <row r="11" spans="1:5" x14ac:dyDescent="0.3">
      <c r="A11" s="155"/>
      <c r="B11" s="156" t="s">
        <v>279</v>
      </c>
      <c r="C11" s="166">
        <f>SUM(C8:C10)</f>
        <v>5805012</v>
      </c>
      <c r="D11" s="166">
        <f>SUM(D8:D10)</f>
        <v>11988125</v>
      </c>
      <c r="E11" s="166">
        <f>SUM(E8:E10)</f>
        <v>0</v>
      </c>
    </row>
    <row r="12" spans="1:5" x14ac:dyDescent="0.3">
      <c r="B12" s="158"/>
    </row>
    <row r="13" spans="1:5" x14ac:dyDescent="0.3">
      <c r="A13" s="152" t="s">
        <v>31</v>
      </c>
      <c r="B13" s="159" t="s">
        <v>32</v>
      </c>
      <c r="C13" s="153">
        <v>336001</v>
      </c>
      <c r="D13" s="153">
        <f>3748406+418000</f>
        <v>4166406</v>
      </c>
      <c r="E13" s="153">
        <f>'5.kiadás'!H242</f>
        <v>3756000</v>
      </c>
    </row>
    <row r="14" spans="1:5" x14ac:dyDescent="0.3">
      <c r="A14" s="152" t="s">
        <v>33</v>
      </c>
      <c r="B14" s="159" t="s">
        <v>34</v>
      </c>
      <c r="C14" s="153">
        <v>6859900</v>
      </c>
      <c r="D14" s="153">
        <v>3175000</v>
      </c>
      <c r="E14" s="153">
        <f>'5.kiadás'!H243</f>
        <v>18636916.100000001</v>
      </c>
    </row>
    <row r="15" spans="1:5" x14ac:dyDescent="0.3">
      <c r="A15" s="152" t="s">
        <v>280</v>
      </c>
      <c r="B15" s="159" t="s">
        <v>281</v>
      </c>
      <c r="C15" s="153">
        <v>0</v>
      </c>
      <c r="D15" s="153">
        <v>0</v>
      </c>
      <c r="E15" s="153">
        <v>0</v>
      </c>
    </row>
    <row r="16" spans="1:5" x14ac:dyDescent="0.3">
      <c r="A16" s="155"/>
      <c r="B16" s="156" t="s">
        <v>282</v>
      </c>
      <c r="C16" s="160">
        <f>SUM(C13:C15)</f>
        <v>7195901</v>
      </c>
      <c r="D16" s="160">
        <f>SUM(D13:D15)</f>
        <v>7341406</v>
      </c>
      <c r="E16" s="160">
        <f>SUM(E13:E15)</f>
        <v>22392916.100000001</v>
      </c>
    </row>
    <row r="17" spans="1:5" x14ac:dyDescent="0.3">
      <c r="A17" s="155"/>
      <c r="B17" s="156"/>
      <c r="C17" s="160"/>
      <c r="D17" s="160"/>
      <c r="E17" s="160"/>
    </row>
    <row r="18" spans="1:5" ht="45.75" customHeight="1" x14ac:dyDescent="0.3">
      <c r="A18" s="167"/>
      <c r="B18" s="168" t="s">
        <v>283</v>
      </c>
      <c r="C18" s="169">
        <f>C11+'7.Táj.adatok műk.'!C12</f>
        <v>120216305</v>
      </c>
      <c r="D18" s="169">
        <f>'7.Táj.adatok műk.'!D12+'8.Táj.adatok felh.'!D11</f>
        <v>139143033</v>
      </c>
      <c r="E18" s="169">
        <f>SUM('7.Táj.adatok műk.'!E12+'8.Táj.adatok felh.'!E11)</f>
        <v>135962871</v>
      </c>
    </row>
    <row r="19" spans="1:5" ht="44.25" customHeight="1" x14ac:dyDescent="0.3">
      <c r="A19" s="167"/>
      <c r="B19" s="168" t="s">
        <v>284</v>
      </c>
      <c r="C19" s="169">
        <f>C16+'7.Táj.adatok műk.'!C20</f>
        <v>92228566</v>
      </c>
      <c r="D19" s="169">
        <f>'7.Táj.adatok műk.'!D20+D16</f>
        <v>104974057</v>
      </c>
      <c r="E19" s="169">
        <f>SUM('7.Táj.adatok műk.'!E20+'8.Táj.adatok felh.'!E16)</f>
        <v>135962870.80000001</v>
      </c>
    </row>
    <row r="20" spans="1:5" x14ac:dyDescent="0.3">
      <c r="D20" s="162"/>
      <c r="E20" s="162"/>
    </row>
    <row r="21" spans="1:5" x14ac:dyDescent="0.3">
      <c r="D21" s="162"/>
    </row>
    <row r="22" spans="1:5" x14ac:dyDescent="0.3">
      <c r="D22" s="162"/>
    </row>
    <row r="23" spans="1:5" x14ac:dyDescent="0.3">
      <c r="D23" s="162"/>
    </row>
  </sheetData>
  <sheetProtection selectLockedCells="1" selectUnlockedCells="1"/>
  <mergeCells count="5">
    <mergeCell ref="A1:E1"/>
    <mergeCell ref="A2:E2"/>
    <mergeCell ref="A7:B7"/>
    <mergeCell ref="A4:E4"/>
    <mergeCell ref="A5:E5"/>
  </mergeCells>
  <printOptions headings="1" gridLines="1"/>
  <pageMargins left="0.74791666666666667" right="0.2361111111111111" top="0.98402777777777772" bottom="0.98402777777777772" header="0.51180555555555551" footer="0.51180555555555551"/>
  <pageSetup paperSize="9" scale="80" firstPageNumber="0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0"/>
  <sheetViews>
    <sheetView view="pageBreakPreview" topLeftCell="A7" zoomScale="120" zoomScaleNormal="120" zoomScaleSheetLayoutView="120" workbookViewId="0">
      <selection activeCell="C11" sqref="C11"/>
    </sheetView>
  </sheetViews>
  <sheetFormatPr defaultColWidth="9.109375" defaultRowHeight="15" x14ac:dyDescent="0.25"/>
  <cols>
    <col min="1" max="1" width="36.109375" style="170" customWidth="1"/>
    <col min="2" max="2" width="49.6640625" style="170" customWidth="1"/>
    <col min="3" max="3" width="15.88671875" style="170" customWidth="1"/>
    <col min="4" max="16384" width="9.109375" style="170"/>
  </cols>
  <sheetData>
    <row r="1" spans="1:3" ht="15.6" x14ac:dyDescent="0.25">
      <c r="A1" s="306" t="s">
        <v>317</v>
      </c>
      <c r="B1" s="306"/>
      <c r="C1" s="306"/>
    </row>
    <row r="2" spans="1:3" ht="15.6" x14ac:dyDescent="0.25">
      <c r="A2" s="306"/>
      <c r="B2" s="306"/>
      <c r="C2" s="306"/>
    </row>
    <row r="3" spans="1:3" ht="18" customHeight="1" x14ac:dyDescent="0.25">
      <c r="A3" s="306"/>
      <c r="B3" s="306"/>
      <c r="C3" s="306"/>
    </row>
    <row r="4" spans="1:3" ht="24" customHeight="1" x14ac:dyDescent="0.25">
      <c r="A4" s="283" t="s">
        <v>0</v>
      </c>
      <c r="B4" s="283"/>
      <c r="C4" s="283"/>
    </row>
    <row r="5" spans="1:3" ht="30" customHeight="1" x14ac:dyDescent="0.25">
      <c r="A5" s="283" t="s">
        <v>316</v>
      </c>
      <c r="B5" s="283"/>
      <c r="C5" s="283"/>
    </row>
    <row r="6" spans="1:3" ht="17.25" customHeight="1" x14ac:dyDescent="0.25">
      <c r="A6" s="310" t="s">
        <v>285</v>
      </c>
      <c r="B6" s="310"/>
      <c r="C6" s="310"/>
    </row>
    <row r="7" spans="1:3" ht="31.5" customHeight="1" x14ac:dyDescent="0.25">
      <c r="A7" s="307" t="s">
        <v>262</v>
      </c>
      <c r="B7" s="307"/>
      <c r="C7" s="31" t="s">
        <v>124</v>
      </c>
    </row>
    <row r="8" spans="1:3" ht="34.5" customHeight="1" x14ac:dyDescent="0.25">
      <c r="A8" s="307"/>
      <c r="B8" s="307"/>
      <c r="C8" s="30" t="s">
        <v>3</v>
      </c>
    </row>
    <row r="9" spans="1:3" ht="25.5" customHeight="1" x14ac:dyDescent="0.3">
      <c r="A9" s="308" t="s">
        <v>245</v>
      </c>
      <c r="B9" s="217" t="s">
        <v>286</v>
      </c>
      <c r="C9" s="171">
        <v>12714344</v>
      </c>
    </row>
    <row r="10" spans="1:3" ht="25.5" customHeight="1" x14ac:dyDescent="0.3">
      <c r="A10" s="308"/>
      <c r="B10" s="217" t="s">
        <v>330</v>
      </c>
      <c r="C10" s="171">
        <f>5592572+130000</f>
        <v>5722572</v>
      </c>
    </row>
    <row r="11" spans="1:3" ht="25.5" customHeight="1" x14ac:dyDescent="0.3">
      <c r="A11" s="308"/>
      <c r="B11" s="217" t="s">
        <v>303</v>
      </c>
      <c r="C11" s="171">
        <v>200000</v>
      </c>
    </row>
    <row r="12" spans="1:3" ht="30" customHeight="1" x14ac:dyDescent="0.3">
      <c r="A12" s="309" t="s">
        <v>287</v>
      </c>
      <c r="B12" s="309"/>
      <c r="C12" s="172">
        <f>SUM(C9:C11)</f>
        <v>18636916</v>
      </c>
    </row>
    <row r="15" spans="1:3" s="173" customFormat="1" x14ac:dyDescent="0.25"/>
    <row r="16" spans="1:3" s="173" customFormat="1" ht="15.6" x14ac:dyDescent="0.3">
      <c r="C16" s="174"/>
    </row>
    <row r="17" s="173" customFormat="1" x14ac:dyDescent="0.25"/>
    <row r="18" s="173" customFormat="1" x14ac:dyDescent="0.25"/>
    <row r="19" s="173" customFormat="1" x14ac:dyDescent="0.25"/>
    <row r="20" s="173" customFormat="1" x14ac:dyDescent="0.25"/>
    <row r="21" s="173" customFormat="1" x14ac:dyDescent="0.25"/>
    <row r="22" s="173" customFormat="1" x14ac:dyDescent="0.25"/>
    <row r="23" s="173" customFormat="1" x14ac:dyDescent="0.25"/>
    <row r="24" s="173" customFormat="1" x14ac:dyDescent="0.25"/>
    <row r="25" s="173" customFormat="1" x14ac:dyDescent="0.25"/>
    <row r="26" s="173" customFormat="1" x14ac:dyDescent="0.25"/>
    <row r="27" s="173" customFormat="1" x14ac:dyDescent="0.25"/>
    <row r="28" s="173" customFormat="1" x14ac:dyDescent="0.25"/>
    <row r="29" s="173" customFormat="1" x14ac:dyDescent="0.25"/>
    <row r="30" s="173" customFormat="1" x14ac:dyDescent="0.25"/>
    <row r="31" s="173" customFormat="1" x14ac:dyDescent="0.25"/>
    <row r="32" s="173" customFormat="1" x14ac:dyDescent="0.25"/>
    <row r="179" spans="3:3" ht="15.75" customHeight="1" x14ac:dyDescent="0.25">
      <c r="C179" s="175"/>
    </row>
    <row r="180" spans="3:3" ht="15.75" customHeight="1" x14ac:dyDescent="0.25">
      <c r="C180" s="175"/>
    </row>
  </sheetData>
  <sheetProtection selectLockedCells="1" selectUnlockedCells="1"/>
  <mergeCells count="9">
    <mergeCell ref="A1:C1"/>
    <mergeCell ref="A7:B8"/>
    <mergeCell ref="A9:A11"/>
    <mergeCell ref="A12:B12"/>
    <mergeCell ref="A2:C2"/>
    <mergeCell ref="A3:C3"/>
    <mergeCell ref="A4:C4"/>
    <mergeCell ref="A5:C5"/>
    <mergeCell ref="A6:C6"/>
  </mergeCells>
  <printOptions horizontalCentered="1" headings="1" gridLines="1"/>
  <pageMargins left="0.39374999999999999" right="0.39374999999999999" top="0.78749999999999998" bottom="0.78749999999999998" header="0.51180555555555551" footer="0.51180555555555551"/>
  <pageSetup paperSize="9" scale="78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13</vt:i4>
      </vt:variant>
      <vt:variant>
        <vt:lpstr>Névvel ellátott tartományok</vt:lpstr>
      </vt:variant>
      <vt:variant>
        <vt:i4>15</vt:i4>
      </vt:variant>
    </vt:vector>
  </HeadingPairs>
  <TitlesOfParts>
    <vt:vector size="28" baseType="lpstr">
      <vt:lpstr>1.mérleg</vt:lpstr>
      <vt:lpstr>2.bevétel</vt:lpstr>
      <vt:lpstr>3.bevétel jogc.</vt:lpstr>
      <vt:lpstr>4.bevétel fel.</vt:lpstr>
      <vt:lpstr>5.kiadás</vt:lpstr>
      <vt:lpstr>6. kiadás fel.</vt:lpstr>
      <vt:lpstr>7.Táj.adatok műk.</vt:lpstr>
      <vt:lpstr>8.Táj.adatok felh.</vt:lpstr>
      <vt:lpstr>9.felújítás</vt:lpstr>
      <vt:lpstr>10. beruházás</vt:lpstr>
      <vt:lpstr>11.Idősek Otthona bevétel</vt:lpstr>
      <vt:lpstr>12.Idősek Otthona kiadás</vt:lpstr>
      <vt:lpstr>13. Idősek Otthona beruházás</vt:lpstr>
      <vt:lpstr>'10. beruházás'!Excel_BuiltIn_Print_Area</vt:lpstr>
      <vt:lpstr>'3.bevétel jogc.'!Excel_BuiltIn_Print_Area</vt:lpstr>
      <vt:lpstr>'9.felújítás'!Excel_BuiltIn_Print_Area</vt:lpstr>
      <vt:lpstr>Excel_BuiltIn_Print_Area_3_1</vt:lpstr>
      <vt:lpstr>'5.kiadás'!Nyomtatási_cím</vt:lpstr>
      <vt:lpstr>'1.mérleg'!Nyomtatási_terület</vt:lpstr>
      <vt:lpstr>'10. beruházás'!Nyomtatási_terület</vt:lpstr>
      <vt:lpstr>'11.Idősek Otthona bevétel'!Nyomtatási_terület</vt:lpstr>
      <vt:lpstr>'12.Idősek Otthona kiadás'!Nyomtatási_terület</vt:lpstr>
      <vt:lpstr>'13. Idősek Otthona beruházás'!Nyomtatási_terület</vt:lpstr>
      <vt:lpstr>'2.bevétel'!Nyomtatási_terület</vt:lpstr>
      <vt:lpstr>'3.bevétel jogc.'!Nyomtatási_terület</vt:lpstr>
      <vt:lpstr>'5.kiadás'!Nyomtatási_terület</vt:lpstr>
      <vt:lpstr>'6. kiadás fel.'!Nyomtatási_terület</vt:lpstr>
      <vt:lpstr>'9.felújítás'!Nyomtatási_terület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KFulopSzilvia</cp:lastModifiedBy>
  <cp:lastPrinted>2021-02-12T07:32:08Z</cp:lastPrinted>
  <dcterms:created xsi:type="dcterms:W3CDTF">2020-02-03T09:22:05Z</dcterms:created>
  <dcterms:modified xsi:type="dcterms:W3CDTF">2021-02-12T13:45:51Z</dcterms:modified>
</cp:coreProperties>
</file>